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9720" windowHeight="5625" activeTab="1"/>
  </bookViews>
  <sheets>
    <sheet name="Model" sheetId="1" r:id="rId1"/>
    <sheet name="Summary" sheetId="2" r:id="rId2"/>
  </sheets>
  <definedNames>
    <definedName name="datatable">'Model'!$A$3:$G$122</definedName>
    <definedName name="_xlnm.Print_Area" localSheetId="0">'Model'!$A$1:$M$92</definedName>
  </definedNames>
  <calcPr fullCalcOnLoad="1"/>
</workbook>
</file>

<file path=xl/sharedStrings.xml><?xml version="1.0" encoding="utf-8"?>
<sst xmlns="http://schemas.openxmlformats.org/spreadsheetml/2006/main" count="22" uniqueCount="22">
  <si>
    <t>Qtr</t>
  </si>
  <si>
    <t xml:space="preserve">Balance at start </t>
  </si>
  <si>
    <t>(Cost)</t>
  </si>
  <si>
    <t>Income</t>
  </si>
  <si>
    <t>Interest</t>
  </si>
  <si>
    <t>Tax Recovery</t>
  </si>
  <si>
    <t>Balance at end</t>
  </si>
  <si>
    <t>Income - current price</t>
  </si>
  <si>
    <t>Price Inflation  Factor</t>
  </si>
  <si>
    <t>Closing @ today's value</t>
  </si>
  <si>
    <t>C. Tax Cap Allows</t>
  </si>
  <si>
    <t>DATA FOR INPUT TO MODEL</t>
  </si>
  <si>
    <t>Initial Capital - £</t>
  </si>
  <si>
    <t>Maintenance costs - £ p.a.</t>
  </si>
  <si>
    <t>kW Hrs per annum</t>
  </si>
  <si>
    <t>RESULTS</t>
  </si>
  <si>
    <t>Income per KW Hr - pence</t>
  </si>
  <si>
    <t>Price increase factor - %</t>
  </si>
  <si>
    <t>Net project balance at end</t>
  </si>
  <si>
    <t>Number of quarters</t>
  </si>
  <si>
    <t>Interest rate</t>
  </si>
  <si>
    <t>Corporation Tax Rate</t>
  </si>
</sst>
</file>

<file path=xl/styles.xml><?xml version="1.0" encoding="utf-8"?>
<styleSheet xmlns="http://schemas.openxmlformats.org/spreadsheetml/2006/main">
  <numFmts count="32">
    <numFmt numFmtId="5" formatCode="&quot;IR£&quot;#,##0;\-&quot;IR£&quot;#,##0"/>
    <numFmt numFmtId="6" formatCode="&quot;IR£&quot;#,##0;[Red]\-&quot;IR£&quot;#,##0"/>
    <numFmt numFmtId="7" formatCode="&quot;IR£&quot;#,##0.00;\-&quot;IR£&quot;#,##0.00"/>
    <numFmt numFmtId="8" formatCode="&quot;IR£&quot;#,##0.00;[Red]\-&quot;IR£&quot;#,##0.00"/>
    <numFmt numFmtId="42" formatCode="_-&quot;IR£&quot;* #,##0_-;\-&quot;IR£&quot;* #,##0_-;_-&quot;IR£&quot;* &quot;-&quot;_-;_-@_-"/>
    <numFmt numFmtId="41" formatCode="_-* #,##0_-;\-* #,##0_-;_-* &quot;-&quot;_-;_-@_-"/>
    <numFmt numFmtId="44" formatCode="_-&quot;IR£&quot;* #,##0.00_-;\-&quot;IR£&quot;* #,##0.00_-;_-&quot;I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quot;£&quot;#,##0.00;[Red]&quot;£&quot;\(#,##0.00\)"/>
    <numFmt numFmtId="179" formatCode="#,##0.00;[Red]\(#,##0.00\)"/>
    <numFmt numFmtId="180" formatCode="[Red]#,##0.00_;\(###0.00\)"/>
    <numFmt numFmtId="181" formatCode="#,##0.00_);[Red]\(#,##0.00\);&quot;-&quot;"/>
    <numFmt numFmtId="182" formatCode="#,##0.00_);[Red]\(#,##0.00\);&quot;-&quot;_)"/>
    <numFmt numFmtId="183" formatCode="#,##0_);\(#,##0\)"/>
    <numFmt numFmtId="184" formatCode="0.000_)"/>
    <numFmt numFmtId="185" formatCode="#,##0.0_);[Red]\(#,##0.0\);&quot;-&quot;_)"/>
    <numFmt numFmtId="186" formatCode="#,##0_);[Red]\(#,##0\);&quot;-&quot;_)"/>
    <numFmt numFmtId="187" formatCode="#,##0.000_);[Red]\(#,##0.000\);&quot;-&quot;_)"/>
  </numFmts>
  <fonts count="11">
    <font>
      <sz val="10"/>
      <name val="Arial"/>
      <family val="0"/>
    </font>
    <font>
      <b/>
      <sz val="10"/>
      <name val="Arial"/>
      <family val="0"/>
    </font>
    <font>
      <i/>
      <sz val="10"/>
      <name val="Arial"/>
      <family val="0"/>
    </font>
    <font>
      <b/>
      <i/>
      <sz val="10"/>
      <name val="Arial"/>
      <family val="0"/>
    </font>
    <font>
      <i/>
      <sz val="14"/>
      <name val="Arial"/>
      <family val="0"/>
    </font>
    <font>
      <b/>
      <sz val="14"/>
      <name val="Arial"/>
      <family val="2"/>
    </font>
    <font>
      <sz val="14"/>
      <name val="Arial"/>
      <family val="2"/>
    </font>
    <font>
      <b/>
      <u val="single"/>
      <sz val="14"/>
      <name val="Arial"/>
      <family val="2"/>
    </font>
    <font>
      <u val="single"/>
      <sz val="10"/>
      <name val="Arial"/>
      <family val="2"/>
    </font>
    <font>
      <sz val="8"/>
      <name val="Arial"/>
      <family val="2"/>
    </font>
    <font>
      <sz val="12"/>
      <name val="Arial"/>
      <family val="2"/>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82" fontId="0" fillId="0" borderId="0" xfId="0" applyNumberFormat="1" applyAlignment="1">
      <alignment/>
    </xf>
    <xf numFmtId="0" fontId="0" fillId="0" borderId="0" xfId="0" applyAlignment="1">
      <alignment horizontal="center"/>
    </xf>
    <xf numFmtId="0" fontId="4" fillId="0" borderId="0" xfId="0" applyFont="1" applyAlignment="1" applyProtection="1">
      <alignment horizontal="center" wrapText="1"/>
      <protection/>
    </xf>
    <xf numFmtId="0" fontId="0" fillId="0" borderId="0" xfId="0" applyAlignment="1">
      <alignment wrapText="1"/>
    </xf>
    <xf numFmtId="182" fontId="6" fillId="0" borderId="1" xfId="0" applyNumberFormat="1" applyFont="1" applyBorder="1" applyAlignment="1">
      <alignment/>
    </xf>
    <xf numFmtId="182" fontId="6" fillId="0" borderId="0" xfId="0" applyNumberFormat="1" applyFont="1" applyBorder="1" applyAlignment="1">
      <alignment/>
    </xf>
    <xf numFmtId="182" fontId="6" fillId="0" borderId="2" xfId="0" applyNumberFormat="1" applyFont="1" applyBorder="1" applyAlignment="1">
      <alignment/>
    </xf>
    <xf numFmtId="182" fontId="6" fillId="0" borderId="3" xfId="0" applyNumberFormat="1" applyFont="1" applyBorder="1" applyAlignment="1">
      <alignment/>
    </xf>
    <xf numFmtId="182" fontId="6" fillId="0" borderId="4" xfId="0" applyNumberFormat="1" applyFont="1" applyBorder="1" applyAlignment="1">
      <alignment/>
    </xf>
    <xf numFmtId="182" fontId="6" fillId="0" borderId="5" xfId="0" applyNumberFormat="1" applyFont="1" applyBorder="1" applyAlignment="1">
      <alignment/>
    </xf>
    <xf numFmtId="186" fontId="0" fillId="0" borderId="0" xfId="0" applyNumberFormat="1" applyAlignment="1" applyProtection="1">
      <alignment/>
      <protection/>
    </xf>
    <xf numFmtId="182" fontId="5" fillId="0" borderId="0" xfId="0" applyNumberFormat="1" applyFont="1" applyAlignment="1">
      <alignment/>
    </xf>
    <xf numFmtId="182" fontId="6" fillId="0" borderId="0" xfId="0" applyNumberFormat="1" applyFont="1" applyAlignment="1">
      <alignment/>
    </xf>
    <xf numFmtId="0" fontId="6" fillId="0" borderId="6" xfId="0" applyFont="1" applyBorder="1" applyAlignment="1">
      <alignment horizontal="center" wrapText="1"/>
    </xf>
    <xf numFmtId="0" fontId="4" fillId="0" borderId="7" xfId="0" applyFont="1" applyBorder="1" applyAlignment="1" applyProtection="1">
      <alignment horizontal="center" wrapText="1"/>
      <protection/>
    </xf>
    <xf numFmtId="0" fontId="4" fillId="0" borderId="8" xfId="0" applyFont="1" applyBorder="1" applyAlignment="1" applyProtection="1">
      <alignment horizontal="center" wrapText="1"/>
      <protection/>
    </xf>
    <xf numFmtId="0" fontId="0" fillId="0" borderId="1" xfId="0" applyBorder="1" applyAlignment="1">
      <alignment horizontal="center"/>
    </xf>
    <xf numFmtId="0" fontId="0" fillId="0" borderId="0" xfId="0" applyBorder="1" applyAlignment="1">
      <alignment/>
    </xf>
    <xf numFmtId="0" fontId="0" fillId="0" borderId="2" xfId="0" applyBorder="1" applyAlignment="1">
      <alignment/>
    </xf>
    <xf numFmtId="186" fontId="0" fillId="0" borderId="0" xfId="0" applyNumberFormat="1" applyBorder="1" applyAlignment="1" applyProtection="1">
      <alignment/>
      <protection/>
    </xf>
    <xf numFmtId="186" fontId="0" fillId="0" borderId="2" xfId="0" applyNumberFormat="1" applyBorder="1" applyAlignment="1" applyProtection="1">
      <alignment/>
      <protection/>
    </xf>
    <xf numFmtId="0" fontId="0" fillId="0" borderId="3" xfId="0" applyBorder="1" applyAlignment="1">
      <alignment horizontal="center"/>
    </xf>
    <xf numFmtId="186" fontId="0" fillId="0" borderId="4" xfId="0" applyNumberFormat="1" applyBorder="1" applyAlignment="1" applyProtection="1">
      <alignment/>
      <protection/>
    </xf>
    <xf numFmtId="186" fontId="0" fillId="0" borderId="5" xfId="0" applyNumberFormat="1" applyBorder="1" applyAlignment="1" applyProtection="1">
      <alignment/>
      <protection/>
    </xf>
    <xf numFmtId="0" fontId="4" fillId="0" borderId="6" xfId="0" applyFont="1" applyBorder="1" applyAlignment="1" applyProtection="1">
      <alignment horizontal="center" wrapText="1"/>
      <protection/>
    </xf>
    <xf numFmtId="0" fontId="0" fillId="0" borderId="1" xfId="0" applyBorder="1" applyAlignment="1">
      <alignment/>
    </xf>
    <xf numFmtId="186" fontId="0" fillId="0" borderId="1" xfId="0" applyNumberFormat="1" applyBorder="1" applyAlignment="1" applyProtection="1">
      <alignment/>
      <protection/>
    </xf>
    <xf numFmtId="187" fontId="0" fillId="0" borderId="0" xfId="0" applyNumberFormat="1" applyBorder="1" applyAlignment="1" applyProtection="1">
      <alignment/>
      <protection/>
    </xf>
    <xf numFmtId="186" fontId="0" fillId="0" borderId="3" xfId="0" applyNumberFormat="1" applyBorder="1" applyAlignment="1" applyProtection="1">
      <alignment/>
      <protection/>
    </xf>
    <xf numFmtId="187" fontId="0" fillId="0" borderId="4" xfId="0" applyNumberFormat="1" applyBorder="1" applyAlignment="1" applyProtection="1">
      <alignment/>
      <protection/>
    </xf>
    <xf numFmtId="182" fontId="7" fillId="0" borderId="1" xfId="0" applyNumberFormat="1" applyFont="1" applyBorder="1" applyAlignment="1">
      <alignment/>
    </xf>
    <xf numFmtId="182" fontId="7" fillId="0" borderId="6" xfId="0" applyNumberFormat="1" applyFont="1"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186" fontId="6" fillId="2" borderId="0" xfId="0" applyNumberFormat="1" applyFont="1" applyFill="1" applyBorder="1" applyAlignment="1">
      <alignment/>
    </xf>
    <xf numFmtId="182" fontId="6" fillId="2" borderId="0" xfId="0" applyNumberFormat="1" applyFont="1" applyFill="1" applyBorder="1" applyAlignment="1">
      <alignment/>
    </xf>
    <xf numFmtId="186" fontId="0" fillId="0" borderId="0" xfId="0" applyNumberFormat="1" applyAlignment="1">
      <alignment/>
    </xf>
    <xf numFmtId="182" fontId="7" fillId="3" borderId="6" xfId="0" applyNumberFormat="1" applyFont="1" applyFill="1" applyBorder="1" applyAlignment="1">
      <alignment horizontal="centerContinuous"/>
    </xf>
    <xf numFmtId="0" fontId="8" fillId="3" borderId="7" xfId="0" applyFont="1" applyFill="1" applyBorder="1" applyAlignment="1">
      <alignment horizontal="centerContinuous"/>
    </xf>
    <xf numFmtId="0" fontId="8" fillId="3" borderId="8" xfId="0" applyFont="1" applyFill="1" applyBorder="1" applyAlignment="1">
      <alignment horizontal="centerContinuous"/>
    </xf>
    <xf numFmtId="182" fontId="5" fillId="3" borderId="1" xfId="0" applyNumberFormat="1" applyFont="1" applyFill="1" applyBorder="1" applyAlignment="1">
      <alignment/>
    </xf>
    <xf numFmtId="182" fontId="6" fillId="3" borderId="0" xfId="0" applyNumberFormat="1" applyFont="1" applyFill="1" applyBorder="1" applyAlignment="1">
      <alignment/>
    </xf>
    <xf numFmtId="182" fontId="6" fillId="3" borderId="2" xfId="0" applyNumberFormat="1" applyFont="1" applyFill="1" applyBorder="1" applyAlignment="1">
      <alignment/>
    </xf>
    <xf numFmtId="182" fontId="6" fillId="3" borderId="1" xfId="0" applyNumberFormat="1" applyFont="1" applyFill="1" applyBorder="1" applyAlignment="1">
      <alignment/>
    </xf>
    <xf numFmtId="186" fontId="6" fillId="3" borderId="0" xfId="0" applyNumberFormat="1" applyFont="1" applyFill="1" applyBorder="1" applyAlignment="1">
      <alignment/>
    </xf>
    <xf numFmtId="182" fontId="6" fillId="3" borderId="3" xfId="0" applyNumberFormat="1" applyFont="1" applyFill="1" applyBorder="1" applyAlignment="1">
      <alignment/>
    </xf>
    <xf numFmtId="182" fontId="6" fillId="3" borderId="4" xfId="0" applyNumberFormat="1" applyFont="1" applyFill="1" applyBorder="1" applyAlignment="1">
      <alignment/>
    </xf>
    <xf numFmtId="182" fontId="6" fillId="3" borderId="5" xfId="0" applyNumberFormat="1" applyFont="1" applyFill="1" applyBorder="1" applyAlignment="1">
      <alignment/>
    </xf>
    <xf numFmtId="182" fontId="9" fillId="0" borderId="0" xfId="0" applyNumberFormat="1" applyFont="1" applyAlignment="1">
      <alignment/>
    </xf>
    <xf numFmtId="186" fontId="6" fillId="2" borderId="0"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85725</xdr:rowOff>
    </xdr:from>
    <xdr:to>
      <xdr:col>8</xdr:col>
      <xdr:colOff>619125</xdr:colOff>
      <xdr:row>28</xdr:row>
      <xdr:rowOff>219075</xdr:rowOff>
    </xdr:to>
    <xdr:sp>
      <xdr:nvSpPr>
        <xdr:cNvPr id="1" name="Text 2"/>
        <xdr:cNvSpPr txBox="1">
          <a:spLocks noChangeArrowheads="1"/>
        </xdr:cNvSpPr>
      </xdr:nvSpPr>
      <xdr:spPr>
        <a:xfrm>
          <a:off x="561975" y="4010025"/>
          <a:ext cx="8791575" cy="26479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This Spreadsheet has been devisewd by an accountant, to allow calculation of the benefits of Renewable Energy, or Energy Conservation Investments by any company or organisation which is taxed on its profits. And which can offset depreciation of capital investments against those profits.  It also allows for inflationary or other price rises in the cost of the fuel/energy which would have to be purchased if the Renewable Energy or  Energy Conservation Investment had not been made.   If a new installation is under consideration, which requires fossil fuels, there will be a capital cost for the energy producing and using equipment, and a revenue cost for the fuel/energy.    Using Renewaable Energy, or investing in Energy Conservation eliminates, or reduces this revenue cost.   As energy prices rise with inflation, or for other reasons, the value of the "free" energy revenue, or the cost reduction value rises in line. The spreadsheet takes account of this.  The input data Fields for either Renewable Energy or Energy Conservation investment are:- INITIAL CAPITAL, The capital costs including installation costs, net of any grants.  ANNUAL MAINTENANCE COSTS, taken as a % of full capital costs (including grants). kWHRS PER ANNUM, the annual energy income or saving, with due regard  to actual operational time, net of maintenance and other downtime. INCOME PER kWHR - PENCE. The current cost of energy including taxes (eg VAT).  PRICE INCREASE FACTOR, the expected price rise/cost inflation of conventional fuel/energy supplies. NUMBER OF QUARTERS, the number of quarter years of the assessment. To find the break even point, this figure is varied until the Result shows just positive. INTEREST RATE, the rate of interest payable on loans for capital monies.  CORPORATION TAX RATE, the Tax Rate applicable to the concern installing the equipment.  Once numbers have been input as above the RESULT will be calculated automatically. Once the Break Even Point has been found, the annual gross "future profit" can be calculated by adding four quarters to the QUARTERS field, and then subtracting the breakeven RESULT figure from the new RESULT figure.  NOTE:- USE THE REPLACE FACILITY ON THE EDIT MENU TO CHANGE NUMBERS IN THE INPUT BOX.
A Ferrand Stobart &amp; Associates, </a:t>
          </a:r>
          <a:r>
            <a:rPr lang="en-US" cap="none" sz="1000" b="0" i="1" u="none" baseline="0">
              <a:latin typeface="Arial"/>
              <a:ea typeface="Arial"/>
              <a:cs typeface="Arial"/>
            </a:rPr>
            <a:t>Economics &amp; Engineering</a:t>
          </a:r>
          <a:r>
            <a:rPr lang="en-US" cap="none" sz="1000" b="0" i="0" u="none" baseline="0">
              <a:latin typeface="Arial"/>
              <a:ea typeface="Arial"/>
              <a:cs typeface="Arial"/>
            </a:rPr>
            <a:t>, Bower Orchard, Church Lane, ORLETON, Nr.Ludlow, SY8 4HU, UK
tel &amp; fax (+44) 1 568 780837, </a:t>
          </a:r>
          <a:r>
            <a:rPr lang="en-US" cap="none" sz="1000" b="0" i="0" u="none" baseline="0">
              <a:latin typeface="Arial"/>
              <a:ea typeface="Arial"/>
              <a:cs typeface="Arial"/>
            </a:rPr>
            <a:t> Oct 2000 e &amp;oe   e-mail:- a-f-s-a@ferrand.care4free.net</a:t>
          </a:r>
        </a:p>
      </xdr:txBody>
    </xdr:sp>
    <xdr:clientData/>
  </xdr:twoCellAnchor>
  <xdr:twoCellAnchor>
    <xdr:from>
      <xdr:col>1</xdr:col>
      <xdr:colOff>1362075</xdr:colOff>
      <xdr:row>1</xdr:row>
      <xdr:rowOff>66675</xdr:rowOff>
    </xdr:from>
    <xdr:to>
      <xdr:col>6</xdr:col>
      <xdr:colOff>1181100</xdr:colOff>
      <xdr:row>4</xdr:row>
      <xdr:rowOff>28575</xdr:rowOff>
    </xdr:to>
    <xdr:sp>
      <xdr:nvSpPr>
        <xdr:cNvPr id="2" name="Text 3"/>
        <xdr:cNvSpPr txBox="1">
          <a:spLocks noChangeArrowheads="1"/>
        </xdr:cNvSpPr>
      </xdr:nvSpPr>
      <xdr:spPr>
        <a:xfrm>
          <a:off x="1914525" y="295275"/>
          <a:ext cx="6638925" cy="647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SPREADSHEET PROGRAMME FOR CALCULATING THE BENEFITS
OF INVESTING IN RENEWABLE ENERGY OR ENERGY CONSERVATION
BY CONCERNS SUBJECT TO PROFITS TAX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2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16" sqref="E16"/>
    </sheetView>
  </sheetViews>
  <sheetFormatPr defaultColWidth="15.28125" defaultRowHeight="12.75"/>
  <cols>
    <col min="1" max="1" width="6.421875" style="2" customWidth="1"/>
    <col min="2" max="2" width="12.00390625" style="0" customWidth="1"/>
    <col min="3" max="3" width="11.421875" style="0" customWidth="1"/>
    <col min="4" max="4" width="12.00390625" style="0" customWidth="1"/>
    <col min="5" max="5" width="13.8515625" style="0" customWidth="1"/>
    <col min="6" max="6" width="13.57421875" style="0" customWidth="1"/>
    <col min="7" max="7" width="13.8515625" style="0" customWidth="1"/>
    <col min="8" max="8" width="10.140625" style="0" customWidth="1"/>
    <col min="9" max="9" width="12.421875" style="0" customWidth="1"/>
    <col min="10" max="10" width="11.57421875" style="0" customWidth="1"/>
    <col min="12" max="12" width="5.57421875" style="0" customWidth="1"/>
    <col min="13" max="13" width="15.00390625" style="0" customWidth="1"/>
  </cols>
  <sheetData>
    <row r="1" spans="1:13" s="4" customFormat="1" ht="56.25">
      <c r="A1" s="14" t="s">
        <v>0</v>
      </c>
      <c r="B1" s="15" t="s">
        <v>1</v>
      </c>
      <c r="C1" s="15" t="s">
        <v>2</v>
      </c>
      <c r="D1" s="15" t="s">
        <v>3</v>
      </c>
      <c r="E1" s="15" t="s">
        <v>4</v>
      </c>
      <c r="F1" s="15" t="s">
        <v>5</v>
      </c>
      <c r="G1" s="16" t="s">
        <v>6</v>
      </c>
      <c r="H1" s="3"/>
      <c r="I1" s="25" t="s">
        <v>7</v>
      </c>
      <c r="J1" s="15" t="s">
        <v>8</v>
      </c>
      <c r="K1" s="16" t="s">
        <v>9</v>
      </c>
      <c r="M1" s="15" t="s">
        <v>10</v>
      </c>
    </row>
    <row r="2" spans="1:11" ht="12.75">
      <c r="A2" s="17"/>
      <c r="B2" s="18"/>
      <c r="C2" s="18"/>
      <c r="D2" s="18"/>
      <c r="E2" s="18"/>
      <c r="F2" s="18"/>
      <c r="G2" s="19"/>
      <c r="I2" s="26"/>
      <c r="J2" s="18"/>
      <c r="K2" s="19"/>
    </row>
    <row r="3" spans="1:13" ht="12.75">
      <c r="A3" s="17">
        <v>1</v>
      </c>
      <c r="B3" s="20">
        <f>-Summary!$C$8</f>
        <v>-1500000</v>
      </c>
      <c r="C3" s="20"/>
      <c r="D3" s="20"/>
      <c r="E3" s="20"/>
      <c r="F3" s="20"/>
      <c r="G3" s="21">
        <f>SUM(B3:F3)</f>
        <v>-1500000</v>
      </c>
      <c r="H3" s="11"/>
      <c r="I3" s="27"/>
      <c r="J3" s="28">
        <v>1</v>
      </c>
      <c r="K3" s="21"/>
      <c r="M3" s="37">
        <f>+Summary!C8</f>
        <v>1500000</v>
      </c>
    </row>
    <row r="4" spans="1:13" ht="12.75">
      <c r="A4" s="17">
        <v>2</v>
      </c>
      <c r="B4" s="20">
        <f aca="true" t="shared" si="0" ref="B4:B67">G3</f>
        <v>-1500000</v>
      </c>
      <c r="C4" s="20">
        <f>-(Summary!$C$9/4)*J4</f>
        <v>-1886.7187500000002</v>
      </c>
      <c r="D4" s="20">
        <f>+K4</f>
        <v>22074.609375000004</v>
      </c>
      <c r="E4" s="20">
        <f>+Summary!$C$14*Model!B4/400</f>
        <v>-11250</v>
      </c>
      <c r="F4" s="20"/>
      <c r="G4" s="21">
        <f aca="true" t="shared" si="1" ref="G4:G67">SUM(B4:F4)</f>
        <v>-1491062.109375</v>
      </c>
      <c r="H4" s="11"/>
      <c r="I4" s="27">
        <f>Summary!$C$10*Summary!$C$11/400</f>
        <v>21937.5</v>
      </c>
      <c r="J4" s="28">
        <f>(1+(Summary!$C$12/400))*J3</f>
        <v>1.00625</v>
      </c>
      <c r="K4" s="21">
        <f>+I4*J4</f>
        <v>22074.609375000004</v>
      </c>
      <c r="M4" s="20"/>
    </row>
    <row r="5" spans="1:13" ht="12.75">
      <c r="A5" s="17">
        <v>3</v>
      </c>
      <c r="B5" s="20">
        <f t="shared" si="0"/>
        <v>-1491062.109375</v>
      </c>
      <c r="C5" s="20">
        <f>-(Summary!$C$9/4)*J5</f>
        <v>-1898.5107421875002</v>
      </c>
      <c r="D5" s="20">
        <f aca="true" t="shared" si="2" ref="D5:D68">+K5</f>
        <v>22212.575683593754</v>
      </c>
      <c r="E5" s="20">
        <f>+Summary!$C$14*Model!B5/400</f>
        <v>-11182.9658203125</v>
      </c>
      <c r="F5" s="20"/>
      <c r="G5" s="21">
        <f t="shared" si="1"/>
        <v>-1481931.0102539062</v>
      </c>
      <c r="H5" s="11"/>
      <c r="I5" s="27">
        <f aca="true" t="shared" si="3" ref="I5:I68">+I4</f>
        <v>21937.5</v>
      </c>
      <c r="J5" s="28">
        <f>(1+(Summary!$C$12/400))*J4</f>
        <v>1.0125390625000001</v>
      </c>
      <c r="K5" s="21">
        <f aca="true" t="shared" si="4" ref="K5:K68">+I5*J5</f>
        <v>22212.575683593754</v>
      </c>
      <c r="M5" s="20">
        <f>IF(MOD(A5,4)=0,+(M1-SUM($M$4:M4))*0.25,0)</f>
        <v>0</v>
      </c>
    </row>
    <row r="6" spans="1:13" ht="12.75">
      <c r="A6" s="17">
        <v>4</v>
      </c>
      <c r="B6" s="20">
        <f t="shared" si="0"/>
        <v>-1481931.0102539062</v>
      </c>
      <c r="C6" s="20">
        <f>-(Summary!$C$9/4)*J6</f>
        <v>-1910.3764343261723</v>
      </c>
      <c r="D6" s="20">
        <f t="shared" si="2"/>
        <v>22351.404281616215</v>
      </c>
      <c r="E6" s="20">
        <f>+Summary!$C$14*Model!B6/400</f>
        <v>-11114.482576904296</v>
      </c>
      <c r="F6" s="20"/>
      <c r="G6" s="21">
        <f t="shared" si="1"/>
        <v>-1472604.4649835206</v>
      </c>
      <c r="H6" s="11"/>
      <c r="I6" s="27">
        <f t="shared" si="3"/>
        <v>21937.5</v>
      </c>
      <c r="J6" s="28">
        <f>(1+(Summary!$C$12/400))*J5</f>
        <v>1.0188674316406252</v>
      </c>
      <c r="K6" s="21">
        <f t="shared" si="4"/>
        <v>22351.404281616215</v>
      </c>
      <c r="M6" s="20">
        <f>IF(MOD(A6,4)=0,+(M2-SUM($M$4:M5))*0.25,0)</f>
        <v>0</v>
      </c>
    </row>
    <row r="7" spans="1:13" ht="12.75">
      <c r="A7" s="17">
        <v>5</v>
      </c>
      <c r="B7" s="20">
        <f t="shared" si="0"/>
        <v>-1472604.4649835206</v>
      </c>
      <c r="C7" s="20">
        <f>-(Summary!$C$9/4)*J7</f>
        <v>-1922.316287040711</v>
      </c>
      <c r="D7" s="20">
        <f t="shared" si="2"/>
        <v>22491.100558376318</v>
      </c>
      <c r="E7" s="20">
        <f>+Summary!$C$14*Model!B7/400</f>
        <v>-11044.533487376402</v>
      </c>
      <c r="F7" s="20">
        <f>IF(MOD(A7,4)=0,-(SUM(#REF!)-M7)*Summary!$C$15/100,0)</f>
        <v>0</v>
      </c>
      <c r="G7" s="21">
        <f t="shared" si="1"/>
        <v>-1463080.2141995612</v>
      </c>
      <c r="H7" s="11"/>
      <c r="I7" s="27">
        <f t="shared" si="3"/>
        <v>21937.5</v>
      </c>
      <c r="J7" s="28">
        <f>(1+(Summary!$C$12/400))*J6</f>
        <v>1.025235353088379</v>
      </c>
      <c r="K7" s="21">
        <f t="shared" si="4"/>
        <v>22491.100558376318</v>
      </c>
      <c r="M7" s="20">
        <f>IF(MOD(A7,4)=0,+(M$3-SUM($M$4:M6))*0.25,0)</f>
        <v>0</v>
      </c>
    </row>
    <row r="8" spans="1:13" ht="12.75">
      <c r="A8" s="17">
        <v>6</v>
      </c>
      <c r="B8" s="20">
        <f t="shared" si="0"/>
        <v>-1463080.2141995612</v>
      </c>
      <c r="C8" s="20">
        <f>-(Summary!$C$9/4)*J8</f>
        <v>-1934.3307638347155</v>
      </c>
      <c r="D8" s="20">
        <f t="shared" si="2"/>
        <v>22631.669936866172</v>
      </c>
      <c r="E8" s="20">
        <f>+Summary!$C$14*Model!B8/400</f>
        <v>-10973.101606496708</v>
      </c>
      <c r="F8" s="20">
        <f>IF(MOD(A8,4)=0,-(SUM(C1:E4)-M8)*Summary!$C$15/100,0)</f>
        <v>0</v>
      </c>
      <c r="G8" s="21">
        <f t="shared" si="1"/>
        <v>-1453355.9766330263</v>
      </c>
      <c r="H8" s="11"/>
      <c r="I8" s="27">
        <f t="shared" si="3"/>
        <v>21937.5</v>
      </c>
      <c r="J8" s="28">
        <f>(1+(Summary!$C$12/400))*J7</f>
        <v>1.0316430740451816</v>
      </c>
      <c r="K8" s="21">
        <f t="shared" si="4"/>
        <v>22631.669936866172</v>
      </c>
      <c r="M8" s="20">
        <f>IF(MOD(A8,4)=0,+(M$3-SUM($M$4:M7))*0.25,0)</f>
        <v>0</v>
      </c>
    </row>
    <row r="9" spans="1:13" ht="12.75">
      <c r="A9" s="17">
        <v>7</v>
      </c>
      <c r="B9" s="20">
        <f t="shared" si="0"/>
        <v>-1453355.9766330263</v>
      </c>
      <c r="C9" s="20">
        <f>-(Summary!$C$9/4)*J9</f>
        <v>-1946.4203311086826</v>
      </c>
      <c r="D9" s="20">
        <f t="shared" si="2"/>
        <v>22773.117873971587</v>
      </c>
      <c r="E9" s="20">
        <f>+Summary!$C$14*Model!B9/400</f>
        <v>-10900.169824747696</v>
      </c>
      <c r="F9" s="20">
        <f>IF(MOD(A9,4)=0,-(SUM(C2:E5)-M9)*Summary!$C$15/100,0)</f>
        <v>0</v>
      </c>
      <c r="G9" s="21">
        <f t="shared" si="1"/>
        <v>-1443429.448914911</v>
      </c>
      <c r="H9" s="11"/>
      <c r="I9" s="27">
        <f t="shared" si="3"/>
        <v>21937.5</v>
      </c>
      <c r="J9" s="28">
        <f>(1+(Summary!$C$12/400))*J8</f>
        <v>1.038090843257964</v>
      </c>
      <c r="K9" s="21">
        <f t="shared" si="4"/>
        <v>22773.117873971587</v>
      </c>
      <c r="M9" s="20">
        <f>IF(MOD(A9,4)=0,+(M$3-SUM($M$4:M8))*0.25,0)</f>
        <v>0</v>
      </c>
    </row>
    <row r="10" spans="1:13" ht="12.75">
      <c r="A10" s="17">
        <v>8</v>
      </c>
      <c r="B10" s="20">
        <f t="shared" si="0"/>
        <v>-1443429.448914911</v>
      </c>
      <c r="C10" s="20">
        <f>-(Summary!$C$9/4)*J10</f>
        <v>-1958.5854581781118</v>
      </c>
      <c r="D10" s="20">
        <f t="shared" si="2"/>
        <v>22915.449860683908</v>
      </c>
      <c r="E10" s="20">
        <f>+Summary!$C$14*Model!B10/400</f>
        <v>-10825.720866861833</v>
      </c>
      <c r="F10" s="20">
        <f>IF(MOD(A10,4)=0,-(SUM(C3:E6)-M10)*Summary!$C$15/100,0)</f>
        <v>104281.33949505616</v>
      </c>
      <c r="G10" s="21">
        <f t="shared" si="1"/>
        <v>-1329016.9658842108</v>
      </c>
      <c r="H10" s="11"/>
      <c r="I10" s="27">
        <f t="shared" si="3"/>
        <v>21937.5</v>
      </c>
      <c r="J10" s="28">
        <f>(1+(Summary!$C$12/400))*J9</f>
        <v>1.0445789110283263</v>
      </c>
      <c r="K10" s="21">
        <f t="shared" si="4"/>
        <v>22915.449860683908</v>
      </c>
      <c r="M10" s="20">
        <f>IF(MOD(A10,4)=0,+(M$3-SUM($M$4:M9))*0.25,0)</f>
        <v>375000</v>
      </c>
    </row>
    <row r="11" spans="1:13" ht="12.75">
      <c r="A11" s="17">
        <v>9</v>
      </c>
      <c r="B11" s="20">
        <f t="shared" si="0"/>
        <v>-1329016.9658842108</v>
      </c>
      <c r="C11" s="20">
        <f>-(Summary!$C$9/4)*J11</f>
        <v>-1970.8266172917251</v>
      </c>
      <c r="D11" s="20">
        <f t="shared" si="2"/>
        <v>23058.671422313182</v>
      </c>
      <c r="E11" s="20">
        <f>+Summary!$C$14*Model!B11/400</f>
        <v>-9967.627244131581</v>
      </c>
      <c r="F11" s="20">
        <f>IF(MOD(A11,4)=0,-(SUM(C4:E7)-M11)*Summary!$C$15/100,0)</f>
        <v>0</v>
      </c>
      <c r="G11" s="21">
        <f t="shared" si="1"/>
        <v>-1317896.7483233209</v>
      </c>
      <c r="H11" s="11"/>
      <c r="I11" s="27">
        <f t="shared" si="3"/>
        <v>21937.5</v>
      </c>
      <c r="J11" s="28">
        <f>(1+(Summary!$C$12/400))*J10</f>
        <v>1.0511075292222534</v>
      </c>
      <c r="K11" s="21">
        <f t="shared" si="4"/>
        <v>23058.671422313182</v>
      </c>
      <c r="M11" s="20">
        <f>IF(MOD(A11,4)=0,+(M$3-SUM($M$4:M10))*0.25,0)</f>
        <v>0</v>
      </c>
    </row>
    <row r="12" spans="1:13" ht="12.75">
      <c r="A12" s="17">
        <v>10</v>
      </c>
      <c r="B12" s="20">
        <f t="shared" si="0"/>
        <v>-1317896.7483233209</v>
      </c>
      <c r="C12" s="20">
        <f>-(Summary!$C$9/4)*J12</f>
        <v>-1983.1442836497984</v>
      </c>
      <c r="D12" s="20">
        <f t="shared" si="2"/>
        <v>23202.78811870264</v>
      </c>
      <c r="E12" s="20">
        <f>+Summary!$C$14*Model!B12/400</f>
        <v>-9884.225612424907</v>
      </c>
      <c r="F12" s="20">
        <f>IF(MOD(A12,4)=0,-(SUM(C5:E8)-M12)*Summary!$C$15/100,0)</f>
        <v>0</v>
      </c>
      <c r="G12" s="21">
        <f t="shared" si="1"/>
        <v>-1306561.330100693</v>
      </c>
      <c r="H12" s="11"/>
      <c r="I12" s="27">
        <f t="shared" si="3"/>
        <v>21937.5</v>
      </c>
      <c r="J12" s="28">
        <f>(1+(Summary!$C$12/400))*J11</f>
        <v>1.0576769512798925</v>
      </c>
      <c r="K12" s="21">
        <f t="shared" si="4"/>
        <v>23202.78811870264</v>
      </c>
      <c r="M12" s="20">
        <f>IF(MOD(A12,4)=0,+(M$3-SUM($M$4:M11))*0.25,0)</f>
        <v>0</v>
      </c>
    </row>
    <row r="13" spans="1:13" ht="12.75">
      <c r="A13" s="17">
        <v>11</v>
      </c>
      <c r="B13" s="20">
        <f t="shared" si="0"/>
        <v>-1306561.330100693</v>
      </c>
      <c r="C13" s="20">
        <f>-(Summary!$C$9/4)*J13</f>
        <v>-1995.5389354226097</v>
      </c>
      <c r="D13" s="20">
        <f t="shared" si="2"/>
        <v>23347.805544444534</v>
      </c>
      <c r="E13" s="20">
        <f>+Summary!$C$14*Model!B13/400</f>
        <v>-9799.209975755199</v>
      </c>
      <c r="F13" s="20">
        <f>IF(MOD(A13,4)=0,-(SUM(C6:E9)-M13)*Summary!$C$15/100,0)</f>
        <v>0</v>
      </c>
      <c r="G13" s="21">
        <f t="shared" si="1"/>
        <v>-1295008.2734674264</v>
      </c>
      <c r="H13" s="11"/>
      <c r="I13" s="27">
        <f t="shared" si="3"/>
        <v>21937.5</v>
      </c>
      <c r="J13" s="28">
        <f>(1+(Summary!$C$12/400))*J12</f>
        <v>1.064287432225392</v>
      </c>
      <c r="K13" s="21">
        <f t="shared" si="4"/>
        <v>23347.805544444534</v>
      </c>
      <c r="M13" s="20">
        <f>IF(MOD(A13,4)=0,+(M$3-SUM($M$4:M12))*0.25,0)</f>
        <v>0</v>
      </c>
    </row>
    <row r="14" spans="1:13" ht="12.75">
      <c r="A14" s="17">
        <v>12</v>
      </c>
      <c r="B14" s="20">
        <f t="shared" si="0"/>
        <v>-1295008.2734674264</v>
      </c>
      <c r="C14" s="20">
        <f>-(Summary!$C$9/4)*J14</f>
        <v>-2008.0110537690014</v>
      </c>
      <c r="D14" s="20">
        <f t="shared" si="2"/>
        <v>23493.729329097314</v>
      </c>
      <c r="E14" s="20">
        <f>+Summary!$C$14*Model!B14/400</f>
        <v>-9712.562051005698</v>
      </c>
      <c r="F14" s="20">
        <f>IF(MOD(A14,4)=0,-(SUM(C7:E10)-M14)*Summary!$C$15/100,0)</f>
        <v>72583.15211872406</v>
      </c>
      <c r="G14" s="21">
        <f t="shared" si="1"/>
        <v>-1210651.9651243796</v>
      </c>
      <c r="H14" s="11"/>
      <c r="I14" s="27">
        <f t="shared" si="3"/>
        <v>21937.5</v>
      </c>
      <c r="J14" s="28">
        <f>(1+(Summary!$C$12/400))*J13</f>
        <v>1.0709392286768007</v>
      </c>
      <c r="K14" s="21">
        <f t="shared" si="4"/>
        <v>23493.729329097314</v>
      </c>
      <c r="M14" s="20">
        <f>IF(MOD(A14,4)=0,+(M$3-SUM($M$4:M13))*0.25,0)</f>
        <v>281250</v>
      </c>
    </row>
    <row r="15" spans="1:13" ht="12.75">
      <c r="A15" s="17">
        <v>13</v>
      </c>
      <c r="B15" s="20">
        <f t="shared" si="0"/>
        <v>-1210651.9651243796</v>
      </c>
      <c r="C15" s="20">
        <f>-(Summary!$C$9/4)*J15</f>
        <v>-2020.5611228550576</v>
      </c>
      <c r="D15" s="20">
        <f t="shared" si="2"/>
        <v>23640.565137404174</v>
      </c>
      <c r="E15" s="20">
        <f>+Summary!$C$14*Model!B15/400</f>
        <v>-9079.889738432847</v>
      </c>
      <c r="F15" s="20">
        <f>IF(MOD(A15,4)=0,-(SUM(C8:E11)-M15)*Summary!$C$15/100,0)</f>
        <v>0</v>
      </c>
      <c r="G15" s="21">
        <f t="shared" si="1"/>
        <v>-1198111.8508482634</v>
      </c>
      <c r="H15" s="11"/>
      <c r="I15" s="27">
        <f t="shared" si="3"/>
        <v>21937.5</v>
      </c>
      <c r="J15" s="28">
        <f>(1+(Summary!$C$12/400))*J14</f>
        <v>1.0776325988560307</v>
      </c>
      <c r="K15" s="21">
        <f t="shared" si="4"/>
        <v>23640.565137404174</v>
      </c>
      <c r="M15" s="20">
        <f>IF(MOD(A15,4)=0,+(M$3-SUM($M$4:M14))*0.25,0)</f>
        <v>0</v>
      </c>
    </row>
    <row r="16" spans="1:13" ht="12.75">
      <c r="A16" s="17">
        <v>14</v>
      </c>
      <c r="B16" s="20">
        <f t="shared" si="0"/>
        <v>-1198111.8508482634</v>
      </c>
      <c r="C16" s="20">
        <f>-(Summary!$C$9/4)*J16</f>
        <v>-2033.1896298729018</v>
      </c>
      <c r="D16" s="20">
        <f t="shared" si="2"/>
        <v>23788.31866951295</v>
      </c>
      <c r="E16" s="20">
        <f>+Summary!$C$14*Model!B16/400</f>
        <v>-8985.838881361975</v>
      </c>
      <c r="F16" s="20">
        <f>IF(MOD(A16,4)=0,-(SUM(C9:E12)-M16)*Summary!$C$15/100,0)</f>
        <v>0</v>
      </c>
      <c r="G16" s="21">
        <f t="shared" si="1"/>
        <v>-1185342.5606899853</v>
      </c>
      <c r="H16" s="11"/>
      <c r="I16" s="27">
        <f t="shared" si="3"/>
        <v>21937.5</v>
      </c>
      <c r="J16" s="28">
        <f>(1+(Summary!$C$12/400))*J15</f>
        <v>1.084367802598881</v>
      </c>
      <c r="K16" s="21">
        <f t="shared" si="4"/>
        <v>23788.31866951295</v>
      </c>
      <c r="M16" s="20">
        <f>IF(MOD(A16,4)=0,+(M$3-SUM($M$4:M15))*0.25,0)</f>
        <v>0</v>
      </c>
    </row>
    <row r="17" spans="1:13" ht="12.75">
      <c r="A17" s="17">
        <v>15</v>
      </c>
      <c r="B17" s="20">
        <f t="shared" si="0"/>
        <v>-1185342.5606899853</v>
      </c>
      <c r="C17" s="20">
        <f>-(Summary!$C$9/4)*J17</f>
        <v>-2045.8970650596077</v>
      </c>
      <c r="D17" s="20">
        <f t="shared" si="2"/>
        <v>23936.99566119741</v>
      </c>
      <c r="E17" s="20">
        <f>+Summary!$C$14*Model!B17/400</f>
        <v>-8890.06920517489</v>
      </c>
      <c r="F17" s="20">
        <f>IF(MOD(A17,4)=0,-(SUM(C10:E13)-M17)*Summary!$C$15/100,0)</f>
        <v>0</v>
      </c>
      <c r="G17" s="21">
        <f t="shared" si="1"/>
        <v>-1172341.5312990223</v>
      </c>
      <c r="H17" s="11"/>
      <c r="I17" s="27">
        <f t="shared" si="3"/>
        <v>21937.5</v>
      </c>
      <c r="J17" s="28">
        <f>(1+(Summary!$C$12/400))*J16</f>
        <v>1.091145101365124</v>
      </c>
      <c r="K17" s="21">
        <f t="shared" si="4"/>
        <v>23936.99566119741</v>
      </c>
      <c r="M17" s="20">
        <f>IF(MOD(A17,4)=0,+(M$3-SUM($M$4:M16))*0.25,0)</f>
        <v>0</v>
      </c>
    </row>
    <row r="18" spans="1:13" ht="12.75">
      <c r="A18" s="17">
        <v>16</v>
      </c>
      <c r="B18" s="20">
        <f t="shared" si="0"/>
        <v>-1172341.5312990223</v>
      </c>
      <c r="C18" s="20">
        <f>-(Summary!$C$9/4)*J18</f>
        <v>-2058.6839217162305</v>
      </c>
      <c r="D18" s="20">
        <f t="shared" si="2"/>
        <v>24086.601884079897</v>
      </c>
      <c r="E18" s="20">
        <f>+Summary!$C$14*Model!B18/400</f>
        <v>-8792.561484742668</v>
      </c>
      <c r="F18" s="20">
        <f>IF(MOD(A18,4)=0,-(SUM(C11:E14)-M18)*Summary!$C$15/100,0)</f>
        <v>49546.69540766786</v>
      </c>
      <c r="G18" s="21">
        <f t="shared" si="1"/>
        <v>-1109559.4794137334</v>
      </c>
      <c r="H18" s="11"/>
      <c r="I18" s="27">
        <f t="shared" si="3"/>
        <v>21937.5</v>
      </c>
      <c r="J18" s="28">
        <f>(1+(Summary!$C$12/400))*J17</f>
        <v>1.0979647582486562</v>
      </c>
      <c r="K18" s="21">
        <f t="shared" si="4"/>
        <v>24086.601884079897</v>
      </c>
      <c r="M18" s="20">
        <f>IF(MOD(A18,4)=0,+(M$3-SUM($M$4:M17))*0.25,0)</f>
        <v>210937.5</v>
      </c>
    </row>
    <row r="19" spans="1:13" ht="12.75">
      <c r="A19" s="17">
        <v>17</v>
      </c>
      <c r="B19" s="20">
        <f t="shared" si="0"/>
        <v>-1109559.4794137334</v>
      </c>
      <c r="C19" s="20">
        <f>-(Summary!$C$9/4)*J19</f>
        <v>-2071.5506962269574</v>
      </c>
      <c r="D19" s="20">
        <f t="shared" si="2"/>
        <v>24237.1431458554</v>
      </c>
      <c r="E19" s="20">
        <f>+Summary!$C$14*Model!B19/400</f>
        <v>-8321.696095603</v>
      </c>
      <c r="F19" s="20">
        <f>IF(MOD(A19,4)=0,-(SUM(C12:E15)-M19)*Summary!$C$15/100,0)</f>
        <v>0</v>
      </c>
      <c r="G19" s="21">
        <f t="shared" si="1"/>
        <v>-1095715.5830597081</v>
      </c>
      <c r="H19" s="11"/>
      <c r="I19" s="27">
        <f t="shared" si="3"/>
        <v>21937.5</v>
      </c>
      <c r="J19" s="28">
        <f>(1+(Summary!$C$12/400))*J18</f>
        <v>1.1048270379877105</v>
      </c>
      <c r="K19" s="21">
        <f t="shared" si="4"/>
        <v>24237.1431458554</v>
      </c>
      <c r="M19" s="20">
        <f>IF(MOD(A19,4)=0,+(M$3-SUM($M$4:M18))*0.25,0)</f>
        <v>0</v>
      </c>
    </row>
    <row r="20" spans="1:13" ht="12.75">
      <c r="A20" s="17">
        <v>18</v>
      </c>
      <c r="B20" s="20">
        <f t="shared" si="0"/>
        <v>-1095715.5830597081</v>
      </c>
      <c r="C20" s="20">
        <f>-(Summary!$C$9/4)*J20</f>
        <v>-2084.497888078376</v>
      </c>
      <c r="D20" s="20">
        <f t="shared" si="2"/>
        <v>24388.625290517</v>
      </c>
      <c r="E20" s="20">
        <f>+Summary!$C$14*Model!B20/400</f>
        <v>-8217.86687294781</v>
      </c>
      <c r="F20" s="20">
        <f>IF(MOD(A20,4)=0,-(SUM(C13:E16)-M20)*Summary!$C$15/100,0)</f>
        <v>0</v>
      </c>
      <c r="G20" s="21">
        <f t="shared" si="1"/>
        <v>-1081629.3225302175</v>
      </c>
      <c r="H20" s="11"/>
      <c r="I20" s="27">
        <f t="shared" si="3"/>
        <v>21937.5</v>
      </c>
      <c r="J20" s="28">
        <f>(1+(Summary!$C$12/400))*J19</f>
        <v>1.1117322069751339</v>
      </c>
      <c r="K20" s="21">
        <f t="shared" si="4"/>
        <v>24388.625290517</v>
      </c>
      <c r="M20" s="20">
        <f>IF(MOD(A20,4)=0,+(M$3-SUM($M$4:M19))*0.25,0)</f>
        <v>0</v>
      </c>
    </row>
    <row r="21" spans="1:13" ht="12.75">
      <c r="A21" s="17">
        <v>19</v>
      </c>
      <c r="B21" s="20">
        <f t="shared" si="0"/>
        <v>-1081629.3225302175</v>
      </c>
      <c r="C21" s="20">
        <f>-(Summary!$C$9/4)*J21</f>
        <v>-2097.525999878866</v>
      </c>
      <c r="D21" s="20">
        <f t="shared" si="2"/>
        <v>24541.054198582733</v>
      </c>
      <c r="E21" s="20">
        <f>+Summary!$C$14*Model!B21/400</f>
        <v>-8112.219918976631</v>
      </c>
      <c r="F21" s="20">
        <f>IF(MOD(A21,4)=0,-(SUM(C14:E17)-M21)*Summary!$C$15/100,0)</f>
        <v>0</v>
      </c>
      <c r="G21" s="21">
        <f t="shared" si="1"/>
        <v>-1067298.01425049</v>
      </c>
      <c r="H21" s="11"/>
      <c r="I21" s="27">
        <f t="shared" si="3"/>
        <v>21937.5</v>
      </c>
      <c r="J21" s="28">
        <f>(1+(Summary!$C$12/400))*J20</f>
        <v>1.1186805332687286</v>
      </c>
      <c r="K21" s="21">
        <f t="shared" si="4"/>
        <v>24541.054198582733</v>
      </c>
      <c r="M21" s="20">
        <f>IF(MOD(A21,4)=0,+(M$3-SUM($M$4:M20))*0.25,0)</f>
        <v>0</v>
      </c>
    </row>
    <row r="22" spans="1:13" ht="12.75">
      <c r="A22" s="17">
        <v>20</v>
      </c>
      <c r="B22" s="20">
        <f t="shared" si="0"/>
        <v>-1067298.01425049</v>
      </c>
      <c r="C22" s="20">
        <f>-(Summary!$C$9/4)*J22</f>
        <v>-2110.635537378109</v>
      </c>
      <c r="D22" s="20">
        <f t="shared" si="2"/>
        <v>24694.435787323877</v>
      </c>
      <c r="E22" s="20">
        <f>+Summary!$C$14*Model!B22/400</f>
        <v>-8004.735106878677</v>
      </c>
      <c r="F22" s="20">
        <f>IF(MOD(A22,4)=0,-(SUM(C15:E18)-M22)*Summary!$C$15/100,0)</f>
        <v>31997.20040910653</v>
      </c>
      <c r="G22" s="21">
        <f t="shared" si="1"/>
        <v>-1020721.7486983164</v>
      </c>
      <c r="H22" s="11"/>
      <c r="I22" s="27">
        <f t="shared" si="3"/>
        <v>21937.5</v>
      </c>
      <c r="J22" s="28">
        <f>(1+(Summary!$C$12/400))*J21</f>
        <v>1.1256722866016582</v>
      </c>
      <c r="K22" s="21">
        <f t="shared" si="4"/>
        <v>24694.435787323877</v>
      </c>
      <c r="M22" s="20">
        <f>IF(MOD(A22,4)=0,+(M$3-SUM($M$4:M21))*0.25,0)</f>
        <v>158203.125</v>
      </c>
    </row>
    <row r="23" spans="1:13" ht="12.75">
      <c r="A23" s="17">
        <v>21</v>
      </c>
      <c r="B23" s="20">
        <f t="shared" si="0"/>
        <v>-1020721.7486983164</v>
      </c>
      <c r="C23" s="20">
        <f>-(Summary!$C$9/4)*J23</f>
        <v>-2123.8270094867225</v>
      </c>
      <c r="D23" s="20">
        <f t="shared" si="2"/>
        <v>24848.776010994654</v>
      </c>
      <c r="E23" s="20">
        <f>+Summary!$C$14*Model!B23/400</f>
        <v>-7655.413115237373</v>
      </c>
      <c r="F23" s="20">
        <f>IF(MOD(A23,4)=0,-(SUM(C16:E19)-M23)*Summary!$C$15/100,0)</f>
        <v>0</v>
      </c>
      <c r="G23" s="21">
        <f t="shared" si="1"/>
        <v>-1005652.2128120458</v>
      </c>
      <c r="H23" s="11"/>
      <c r="I23" s="27">
        <f t="shared" si="3"/>
        <v>21937.5</v>
      </c>
      <c r="J23" s="28">
        <f>(1+(Summary!$C$12/400))*J22</f>
        <v>1.1327077383929187</v>
      </c>
      <c r="K23" s="21">
        <f t="shared" si="4"/>
        <v>24848.776010994654</v>
      </c>
      <c r="M23" s="20">
        <f>IF(MOD(A23,4)=0,+(M$3-SUM($M$4:M22))*0.25,0)</f>
        <v>0</v>
      </c>
    </row>
    <row r="24" spans="1:13" ht="12.75">
      <c r="A24" s="17">
        <v>22</v>
      </c>
      <c r="B24" s="20">
        <f t="shared" si="0"/>
        <v>-1005652.2128120458</v>
      </c>
      <c r="C24" s="20">
        <f>-(Summary!$C$9/4)*J24</f>
        <v>-2137.100928296015</v>
      </c>
      <c r="D24" s="20">
        <f t="shared" si="2"/>
        <v>25004.080861063372</v>
      </c>
      <c r="E24" s="20">
        <f>+Summary!$C$14*Model!B24/400</f>
        <v>-7542.391596090344</v>
      </c>
      <c r="F24" s="20">
        <f>IF(MOD(A24,4)=0,-(SUM(C17:E20)-M24)*Summary!$C$15/100,0)</f>
        <v>0</v>
      </c>
      <c r="G24" s="21">
        <f t="shared" si="1"/>
        <v>-990327.6244753689</v>
      </c>
      <c r="H24" s="11"/>
      <c r="I24" s="27">
        <f t="shared" si="3"/>
        <v>21937.5</v>
      </c>
      <c r="J24" s="28">
        <f>(1+(Summary!$C$12/400))*J23</f>
        <v>1.1397871617578745</v>
      </c>
      <c r="K24" s="21">
        <f t="shared" si="4"/>
        <v>25004.080861063372</v>
      </c>
      <c r="M24" s="20">
        <f>IF(MOD(A24,4)=0,+(M$3-SUM($M$4:M23))*0.25,0)</f>
        <v>0</v>
      </c>
    </row>
    <row r="25" spans="1:13" ht="12.75">
      <c r="A25" s="17">
        <v>23</v>
      </c>
      <c r="B25" s="20">
        <f t="shared" si="0"/>
        <v>-990327.6244753689</v>
      </c>
      <c r="C25" s="20">
        <f>-(Summary!$C$9/4)*J25</f>
        <v>-2150.4578090978653</v>
      </c>
      <c r="D25" s="20">
        <f t="shared" si="2"/>
        <v>25160.356366445023</v>
      </c>
      <c r="E25" s="20">
        <f>+Summary!$C$14*Model!B25/400</f>
        <v>-7427.457183565267</v>
      </c>
      <c r="F25" s="20">
        <f>IF(MOD(A25,4)=0,-(SUM(C18:E21)-M25)*Summary!$C$15/100,0)</f>
        <v>0</v>
      </c>
      <c r="G25" s="21">
        <f t="shared" si="1"/>
        <v>-974745.1831015869</v>
      </c>
      <c r="H25" s="11"/>
      <c r="I25" s="27">
        <f t="shared" si="3"/>
        <v>21937.5</v>
      </c>
      <c r="J25" s="28">
        <f>(1+(Summary!$C$12/400))*J24</f>
        <v>1.1469108315188614</v>
      </c>
      <c r="K25" s="21">
        <f t="shared" si="4"/>
        <v>25160.356366445023</v>
      </c>
      <c r="M25" s="20">
        <f>IF(MOD(A25,4)=0,+(M$3-SUM($M$4:M24))*0.25,0)</f>
        <v>0</v>
      </c>
    </row>
    <row r="26" spans="1:13" ht="12.75">
      <c r="A26" s="17">
        <v>24</v>
      </c>
      <c r="B26" s="20">
        <f t="shared" si="0"/>
        <v>-974745.1831015869</v>
      </c>
      <c r="C26" s="20">
        <f>-(Summary!$C$9/4)*J26</f>
        <v>-2163.8981704047274</v>
      </c>
      <c r="D26" s="20">
        <f t="shared" si="2"/>
        <v>25317.60859373531</v>
      </c>
      <c r="E26" s="20">
        <f>+Summary!$C$14*Model!B26/400</f>
        <v>-7310.588873261901</v>
      </c>
      <c r="F26" s="20">
        <f>IF(MOD(A26,4)=0,-(SUM(C19:E22)-M26)*Summary!$C$15/100,0)</f>
        <v>18543.544033106828</v>
      </c>
      <c r="G26" s="21">
        <f t="shared" si="1"/>
        <v>-940358.5175184114</v>
      </c>
      <c r="H26" s="11"/>
      <c r="I26" s="27">
        <f t="shared" si="3"/>
        <v>21937.5</v>
      </c>
      <c r="J26" s="28">
        <f>(1+(Summary!$C$12/400))*J25</f>
        <v>1.1540790242158545</v>
      </c>
      <c r="K26" s="21">
        <f t="shared" si="4"/>
        <v>25317.60859373531</v>
      </c>
      <c r="M26" s="20">
        <f>IF(MOD(A26,4)=0,+(M$3-SUM($M$4:M25))*0.25,0)</f>
        <v>118652.34375</v>
      </c>
    </row>
    <row r="27" spans="1:13" ht="12.75">
      <c r="A27" s="17">
        <v>25</v>
      </c>
      <c r="B27" s="20">
        <f t="shared" si="0"/>
        <v>-940358.5175184114</v>
      </c>
      <c r="C27" s="20">
        <f>-(Summary!$C$9/4)*J27</f>
        <v>-2177.422533969757</v>
      </c>
      <c r="D27" s="20">
        <f t="shared" si="2"/>
        <v>25475.843647446156</v>
      </c>
      <c r="E27" s="20">
        <f>+Summary!$C$14*Model!B27/400</f>
        <v>-7052.688881388085</v>
      </c>
      <c r="F27" s="20">
        <f>IF(MOD(A27,4)=0,-(SUM(C20:E23)-M27)*Summary!$C$15/100,0)</f>
        <v>0</v>
      </c>
      <c r="G27" s="21">
        <f t="shared" si="1"/>
        <v>-924112.785286323</v>
      </c>
      <c r="H27" s="11"/>
      <c r="I27" s="27">
        <f t="shared" si="3"/>
        <v>21937.5</v>
      </c>
      <c r="J27" s="28">
        <f>(1+(Summary!$C$12/400))*J26</f>
        <v>1.1612920181172037</v>
      </c>
      <c r="K27" s="21">
        <f t="shared" si="4"/>
        <v>25475.843647446156</v>
      </c>
      <c r="M27" s="20">
        <f>IF(MOD(A27,4)=0,+(M$3-SUM($M$4:M26))*0.25,0)</f>
        <v>0</v>
      </c>
    </row>
    <row r="28" spans="1:13" ht="12.75">
      <c r="A28" s="17">
        <v>26</v>
      </c>
      <c r="B28" s="20">
        <f t="shared" si="0"/>
        <v>-924112.785286323</v>
      </c>
      <c r="C28" s="20">
        <f>-(Summary!$C$9/4)*J28</f>
        <v>-2191.0314248070686</v>
      </c>
      <c r="D28" s="20">
        <f t="shared" si="2"/>
        <v>25635.0676702427</v>
      </c>
      <c r="E28" s="20">
        <f>+Summary!$C$14*Model!B28/400</f>
        <v>-6930.845889647422</v>
      </c>
      <c r="F28" s="20">
        <f>IF(MOD(A28,4)=0,-(SUM(C21:E24)-M28)*Summary!$C$15/100,0)</f>
        <v>0</v>
      </c>
      <c r="G28" s="21">
        <f t="shared" si="1"/>
        <v>-907599.5949305347</v>
      </c>
      <c r="H28" s="11"/>
      <c r="I28" s="27">
        <f t="shared" si="3"/>
        <v>21937.5</v>
      </c>
      <c r="J28" s="28">
        <f>(1+(Summary!$C$12/400))*J27</f>
        <v>1.1685500932304365</v>
      </c>
      <c r="K28" s="21">
        <f t="shared" si="4"/>
        <v>25635.0676702427</v>
      </c>
      <c r="M28" s="20">
        <f>IF(MOD(A28,4)=0,+(M$3-SUM($M$4:M27))*0.25,0)</f>
        <v>0</v>
      </c>
    </row>
    <row r="29" spans="1:13" ht="12.75">
      <c r="A29" s="17">
        <v>27</v>
      </c>
      <c r="B29" s="20">
        <f t="shared" si="0"/>
        <v>-907599.5949305347</v>
      </c>
      <c r="C29" s="20">
        <f>-(Summary!$C$9/4)*J29</f>
        <v>-2204.725371212113</v>
      </c>
      <c r="D29" s="20">
        <f t="shared" si="2"/>
        <v>25795.286843181722</v>
      </c>
      <c r="E29" s="20">
        <f>+Summary!$C$14*Model!B29/400</f>
        <v>-6806.99696197901</v>
      </c>
      <c r="F29" s="20">
        <f>IF(MOD(A29,4)=0,-(SUM(C22:E25)-M29)*Summary!$C$15/100,0)</f>
        <v>0</v>
      </c>
      <c r="G29" s="21">
        <f t="shared" si="1"/>
        <v>-890816.0304205441</v>
      </c>
      <c r="H29" s="11"/>
      <c r="I29" s="27">
        <f t="shared" si="3"/>
        <v>21937.5</v>
      </c>
      <c r="J29" s="28">
        <f>(1+(Summary!$C$12/400))*J28</f>
        <v>1.1758535313131269</v>
      </c>
      <c r="K29" s="21">
        <f t="shared" si="4"/>
        <v>25795.286843181722</v>
      </c>
      <c r="M29" s="20">
        <f>IF(MOD(A29,4)=0,+(M$3-SUM($M$4:M28))*0.25,0)</f>
        <v>0</v>
      </c>
    </row>
    <row r="30" spans="1:13" ht="12.75">
      <c r="A30" s="17">
        <v>28</v>
      </c>
      <c r="B30" s="20">
        <f t="shared" si="0"/>
        <v>-890816.0304205441</v>
      </c>
      <c r="C30" s="20">
        <f>-(Summary!$C$9/4)*J30</f>
        <v>-2218.504904782189</v>
      </c>
      <c r="D30" s="20">
        <f t="shared" si="2"/>
        <v>25956.50738595161</v>
      </c>
      <c r="E30" s="20">
        <f>+Summary!$C$14*Model!B30/400</f>
        <v>-6681.120228154081</v>
      </c>
      <c r="F30" s="20">
        <f>IF(MOD(A30,4)=0,-(SUM(C23:E26)-M30)*Summary!$C$15/100,0)</f>
        <v>8150.871199710556</v>
      </c>
      <c r="G30" s="21">
        <f t="shared" si="1"/>
        <v>-865608.2769678183</v>
      </c>
      <c r="H30" s="11"/>
      <c r="I30" s="27">
        <f t="shared" si="3"/>
        <v>21937.5</v>
      </c>
      <c r="J30" s="28">
        <f>(1+(Summary!$C$12/400))*J29</f>
        <v>1.183202615883834</v>
      </c>
      <c r="K30" s="21">
        <f t="shared" si="4"/>
        <v>25956.50738595161</v>
      </c>
      <c r="M30" s="20">
        <f>IF(MOD(A30,4)=0,+(M$3-SUM($M$4:M29))*0.25,0)</f>
        <v>88989.2578125</v>
      </c>
    </row>
    <row r="31" spans="1:13" ht="12.75">
      <c r="A31" s="17">
        <v>29</v>
      </c>
      <c r="B31" s="20">
        <f t="shared" si="0"/>
        <v>-865608.2769678183</v>
      </c>
      <c r="C31" s="20">
        <f>-(Summary!$C$9/4)*J31</f>
        <v>-2232.3705604370775</v>
      </c>
      <c r="D31" s="20">
        <f t="shared" si="2"/>
        <v>26118.735557113807</v>
      </c>
      <c r="E31" s="20">
        <f>+Summary!$C$14*Model!B31/400</f>
        <v>-6492.062077258637</v>
      </c>
      <c r="F31" s="20">
        <f>IF(MOD(A31,4)=0,-(SUM(C24:E27)-M31)*Summary!$C$15/100,0)</f>
        <v>0</v>
      </c>
      <c r="G31" s="21">
        <f t="shared" si="1"/>
        <v>-848213.9740484002</v>
      </c>
      <c r="H31" s="11"/>
      <c r="I31" s="27">
        <f t="shared" si="3"/>
        <v>21937.5</v>
      </c>
      <c r="J31" s="28">
        <f>(1+(Summary!$C$12/400))*J30</f>
        <v>1.190597632233108</v>
      </c>
      <c r="K31" s="21">
        <f t="shared" si="4"/>
        <v>26118.735557113807</v>
      </c>
      <c r="M31" s="20">
        <f>IF(MOD(A31,4)=0,+(M$3-SUM($M$4:M30))*0.25,0)</f>
        <v>0</v>
      </c>
    </row>
    <row r="32" spans="1:13" ht="12.75">
      <c r="A32" s="17">
        <v>30</v>
      </c>
      <c r="B32" s="20">
        <f t="shared" si="0"/>
        <v>-848213.9740484002</v>
      </c>
      <c r="C32" s="20">
        <f>-(Summary!$C$9/4)*J32</f>
        <v>-2246.3228764398095</v>
      </c>
      <c r="D32" s="20">
        <f t="shared" si="2"/>
        <v>26281.97765434577</v>
      </c>
      <c r="E32" s="20">
        <f>+Summary!$C$14*Model!B32/400</f>
        <v>-6361.604805363001</v>
      </c>
      <c r="F32" s="20">
        <f>IF(MOD(A32,4)=0,-(SUM(C25:E28)-M32)*Summary!$C$15/100,0)</f>
        <v>0</v>
      </c>
      <c r="G32" s="21">
        <f t="shared" si="1"/>
        <v>-830539.9240758572</v>
      </c>
      <c r="H32" s="11"/>
      <c r="I32" s="27">
        <f t="shared" si="3"/>
        <v>21937.5</v>
      </c>
      <c r="J32" s="28">
        <f>(1+(Summary!$C$12/400))*J31</f>
        <v>1.198038867434565</v>
      </c>
      <c r="K32" s="21">
        <f t="shared" si="4"/>
        <v>26281.97765434577</v>
      </c>
      <c r="M32" s="20">
        <f>IF(MOD(A32,4)=0,+(M$3-SUM($M$4:M31))*0.25,0)</f>
        <v>0</v>
      </c>
    </row>
    <row r="33" spans="1:13" ht="12.75">
      <c r="A33" s="17">
        <v>31</v>
      </c>
      <c r="B33" s="20">
        <f t="shared" si="0"/>
        <v>-830539.9240758572</v>
      </c>
      <c r="C33" s="20">
        <f>-(Summary!$C$9/4)*J33</f>
        <v>-2260.3623944175583</v>
      </c>
      <c r="D33" s="20">
        <f t="shared" si="2"/>
        <v>26446.240014685434</v>
      </c>
      <c r="E33" s="20">
        <f>+Summary!$C$14*Model!B33/400</f>
        <v>-6229.049430568928</v>
      </c>
      <c r="F33" s="20">
        <f>IF(MOD(A33,4)=0,-(SUM(C26:E29)-M33)*Summary!$C$15/100,0)</f>
        <v>0</v>
      </c>
      <c r="G33" s="21">
        <f t="shared" si="1"/>
        <v>-812583.0958861582</v>
      </c>
      <c r="H33" s="11"/>
      <c r="I33" s="27">
        <f t="shared" si="3"/>
        <v>21937.5</v>
      </c>
      <c r="J33" s="28">
        <f>(1+(Summary!$C$12/400))*J32</f>
        <v>1.2055266103560311</v>
      </c>
      <c r="K33" s="21">
        <f t="shared" si="4"/>
        <v>26446.240014685434</v>
      </c>
      <c r="M33" s="20">
        <f>IF(MOD(A33,4)=0,+(M$3-SUM($M$4:M32))*0.25,0)</f>
        <v>0</v>
      </c>
    </row>
    <row r="34" spans="1:13" ht="12.75">
      <c r="A34" s="17">
        <v>32</v>
      </c>
      <c r="B34" s="20">
        <f t="shared" si="0"/>
        <v>-812583.0958861582</v>
      </c>
      <c r="C34" s="20">
        <f>-(Summary!$C$9/4)*J34</f>
        <v>-2274.489659382668</v>
      </c>
      <c r="D34" s="20">
        <f t="shared" si="2"/>
        <v>26611.529014777218</v>
      </c>
      <c r="E34" s="20">
        <f>+Summary!$C$14*Model!B34/400</f>
        <v>-6094.373219146186</v>
      </c>
      <c r="F34" s="20">
        <f>IF(MOD(A34,4)=0,-(SUM(C27:E30)-M34)*Summary!$C$15/100,0)</f>
        <v>42.772202547760386</v>
      </c>
      <c r="G34" s="21">
        <f t="shared" si="1"/>
        <v>-794297.657547362</v>
      </c>
      <c r="H34" s="11"/>
      <c r="I34" s="27">
        <f t="shared" si="3"/>
        <v>21937.5</v>
      </c>
      <c r="J34" s="28">
        <f>(1+(Summary!$C$12/400))*J33</f>
        <v>1.2130611516707563</v>
      </c>
      <c r="K34" s="21">
        <f t="shared" si="4"/>
        <v>26611.529014777218</v>
      </c>
      <c r="M34" s="20">
        <f>IF(MOD(A34,4)=0,+(M$3-SUM($M$4:M33))*0.25,0)</f>
        <v>66741.943359375</v>
      </c>
    </row>
    <row r="35" spans="1:13" ht="12.75">
      <c r="A35" s="17">
        <v>33</v>
      </c>
      <c r="B35" s="20">
        <f t="shared" si="0"/>
        <v>-794297.657547362</v>
      </c>
      <c r="C35" s="20">
        <f>-(Summary!$C$9/4)*J35</f>
        <v>-2288.70521975381</v>
      </c>
      <c r="D35" s="20">
        <f t="shared" si="2"/>
        <v>26777.851071119578</v>
      </c>
      <c r="E35" s="20">
        <f>+Summary!$C$14*Model!B35/400</f>
        <v>-5957.2324316052145</v>
      </c>
      <c r="F35" s="20">
        <f>IF(MOD(A35,4)=0,-(SUM(C28:E31)-M35)*Summary!$C$15/100,0)</f>
        <v>0</v>
      </c>
      <c r="G35" s="21">
        <f t="shared" si="1"/>
        <v>-775765.7441276015</v>
      </c>
      <c r="H35" s="11"/>
      <c r="I35" s="27">
        <f t="shared" si="3"/>
        <v>21937.5</v>
      </c>
      <c r="J35" s="28">
        <f>(1+(Summary!$C$12/400))*J34</f>
        <v>1.2206427838686986</v>
      </c>
      <c r="K35" s="21">
        <f t="shared" si="4"/>
        <v>26777.851071119578</v>
      </c>
      <c r="M35" s="20">
        <f>IF(MOD(A35,4)=0,+(M$3-SUM($M$4:M34))*0.25,0)</f>
        <v>0</v>
      </c>
    </row>
    <row r="36" spans="1:13" ht="12.75">
      <c r="A36" s="17">
        <v>34</v>
      </c>
      <c r="B36" s="20">
        <f t="shared" si="0"/>
        <v>-775765.7441276015</v>
      </c>
      <c r="C36" s="20">
        <f>-(Summary!$C$9/4)*J36</f>
        <v>-2303.0096273772715</v>
      </c>
      <c r="D36" s="20">
        <f t="shared" si="2"/>
        <v>26945.212640314076</v>
      </c>
      <c r="E36" s="20">
        <f>+Summary!$C$14*Model!B36/400</f>
        <v>-5818.243080957011</v>
      </c>
      <c r="F36" s="20">
        <f>IF(MOD(A36,4)=0,-(SUM(C29:E32)-M36)*Summary!$C$15/100,0)</f>
        <v>0</v>
      </c>
      <c r="G36" s="21">
        <f t="shared" si="1"/>
        <v>-756941.7841956216</v>
      </c>
      <c r="H36" s="11"/>
      <c r="I36" s="27">
        <f t="shared" si="3"/>
        <v>21937.5</v>
      </c>
      <c r="J36" s="28">
        <f>(1+(Summary!$C$12/400))*J35</f>
        <v>1.2282718012678782</v>
      </c>
      <c r="K36" s="21">
        <f t="shared" si="4"/>
        <v>26945.212640314076</v>
      </c>
      <c r="M36" s="20">
        <f>IF(MOD(A36,4)=0,+(M$3-SUM($M$4:M35))*0.25,0)</f>
        <v>0</v>
      </c>
    </row>
    <row r="37" spans="1:13" ht="12.75">
      <c r="A37" s="17">
        <v>35</v>
      </c>
      <c r="B37" s="20">
        <f t="shared" si="0"/>
        <v>-756941.7841956216</v>
      </c>
      <c r="C37" s="20">
        <f>-(Summary!$C$9/4)*J37</f>
        <v>-2317.4034375483798</v>
      </c>
      <c r="D37" s="20">
        <f t="shared" si="2"/>
        <v>27113.620219316042</v>
      </c>
      <c r="E37" s="20">
        <f>+Summary!$C$14*Model!B37/400</f>
        <v>-5677.063381467163</v>
      </c>
      <c r="F37" s="20">
        <f>IF(MOD(A37,4)=0,-(SUM(C30:E33)-M37)*Summary!$C$15/100,0)</f>
        <v>0</v>
      </c>
      <c r="G37" s="21">
        <f t="shared" si="1"/>
        <v>-737822.6307953211</v>
      </c>
      <c r="H37" s="11"/>
      <c r="I37" s="27">
        <f t="shared" si="3"/>
        <v>21937.5</v>
      </c>
      <c r="J37" s="28">
        <f>(1+(Summary!$C$12/400))*J36</f>
        <v>1.2359485000258026</v>
      </c>
      <c r="K37" s="21">
        <f t="shared" si="4"/>
        <v>27113.620219316042</v>
      </c>
      <c r="M37" s="20">
        <f>IF(MOD(A37,4)=0,+(M$3-SUM($M$4:M36))*0.25,0)</f>
        <v>0</v>
      </c>
    </row>
    <row r="38" spans="1:13" ht="12.75">
      <c r="A38" s="17">
        <v>36</v>
      </c>
      <c r="B38" s="20">
        <f t="shared" si="0"/>
        <v>-737822.6307953211</v>
      </c>
      <c r="C38" s="20">
        <f>-(Summary!$C$9/4)*J38</f>
        <v>-2331.8872090330574</v>
      </c>
      <c r="D38" s="20">
        <f t="shared" si="2"/>
        <v>27283.080345686772</v>
      </c>
      <c r="E38" s="20">
        <f>+Summary!$C$14*Model!B38/400</f>
        <v>-5533.669730964908</v>
      </c>
      <c r="F38" s="20">
        <f>IF(MOD(A38,4)=0,-(SUM(C31:E34)-M38)*Summary!$C$15/100,0)</f>
        <v>-6363.416909513134</v>
      </c>
      <c r="G38" s="21">
        <f t="shared" si="1"/>
        <v>-724768.5242991454</v>
      </c>
      <c r="H38" s="11"/>
      <c r="I38" s="27">
        <f t="shared" si="3"/>
        <v>21937.5</v>
      </c>
      <c r="J38" s="28">
        <f>(1+(Summary!$C$12/400))*J37</f>
        <v>1.243673178150964</v>
      </c>
      <c r="K38" s="21">
        <f t="shared" si="4"/>
        <v>27283.080345686772</v>
      </c>
      <c r="M38" s="20">
        <f>IF(MOD(A38,4)=0,+(M$3-SUM($M$4:M37))*0.25,0)</f>
        <v>50056.45751953125</v>
      </c>
    </row>
    <row r="39" spans="1:13" ht="12.75">
      <c r="A39" s="17">
        <v>37</v>
      </c>
      <c r="B39" s="20">
        <f t="shared" si="0"/>
        <v>-724768.5242991454</v>
      </c>
      <c r="C39" s="20">
        <f>-(Summary!$C$9/4)*J39</f>
        <v>-2346.4615040895146</v>
      </c>
      <c r="D39" s="20">
        <f t="shared" si="2"/>
        <v>27453.59959784732</v>
      </c>
      <c r="E39" s="20">
        <f>+Summary!$C$14*Model!B39/400</f>
        <v>-5435.76393224359</v>
      </c>
      <c r="F39" s="20">
        <f>IF(MOD(A39,4)=0,-(SUM(C32:E35)-M39)*Summary!$C$15/100,0)</f>
        <v>0</v>
      </c>
      <c r="G39" s="21">
        <f t="shared" si="1"/>
        <v>-705097.1501376312</v>
      </c>
      <c r="H39" s="11"/>
      <c r="I39" s="27">
        <f t="shared" si="3"/>
        <v>21937.5</v>
      </c>
      <c r="J39" s="28">
        <f>(1+(Summary!$C$12/400))*J38</f>
        <v>1.2514461355144078</v>
      </c>
      <c r="K39" s="21">
        <f t="shared" si="4"/>
        <v>27453.59959784732</v>
      </c>
      <c r="M39" s="20">
        <f>IF(MOD(A39,4)=0,+(M$3-SUM($M$4:M38))*0.25,0)</f>
        <v>0</v>
      </c>
    </row>
    <row r="40" spans="1:13" ht="12.75">
      <c r="A40" s="17">
        <v>38</v>
      </c>
      <c r="B40" s="20">
        <f t="shared" si="0"/>
        <v>-705097.1501376312</v>
      </c>
      <c r="C40" s="20">
        <f>-(Summary!$C$9/4)*J40</f>
        <v>-2361.126888490074</v>
      </c>
      <c r="D40" s="20">
        <f t="shared" si="2"/>
        <v>27625.184595333867</v>
      </c>
      <c r="E40" s="20">
        <f>+Summary!$C$14*Model!B40/400</f>
        <v>-5288.228626032234</v>
      </c>
      <c r="F40" s="20">
        <f>IF(MOD(A40,4)=0,-(SUM(C33:E36)-M40)*Summary!$C$15/100,0)</f>
        <v>0</v>
      </c>
      <c r="G40" s="21">
        <f t="shared" si="1"/>
        <v>-685121.3210568196</v>
      </c>
      <c r="H40" s="11"/>
      <c r="I40" s="27">
        <f t="shared" si="3"/>
        <v>21937.5</v>
      </c>
      <c r="J40" s="28">
        <f>(1+(Summary!$C$12/400))*J39</f>
        <v>1.2592676738613728</v>
      </c>
      <c r="K40" s="21">
        <f t="shared" si="4"/>
        <v>27625.184595333867</v>
      </c>
      <c r="M40" s="20">
        <f>IF(MOD(A40,4)=0,+(M$3-SUM($M$4:M39))*0.25,0)</f>
        <v>0</v>
      </c>
    </row>
    <row r="41" spans="1:13" ht="12.75">
      <c r="A41" s="17">
        <v>39</v>
      </c>
      <c r="B41" s="20">
        <f t="shared" si="0"/>
        <v>-685121.3210568196</v>
      </c>
      <c r="C41" s="20">
        <f>-(Summary!$C$9/4)*J41</f>
        <v>-2375.8839315431374</v>
      </c>
      <c r="D41" s="20">
        <f t="shared" si="2"/>
        <v>27797.841999054708</v>
      </c>
      <c r="E41" s="20">
        <f>+Summary!$C$14*Model!B41/400</f>
        <v>-5138.409907926148</v>
      </c>
      <c r="F41" s="20">
        <f>IF(MOD(A41,4)=0,-(SUM(C34:E37)-M41)*Summary!$C$15/100,0)</f>
        <v>0</v>
      </c>
      <c r="G41" s="21">
        <f t="shared" si="1"/>
        <v>-664837.7728972342</v>
      </c>
      <c r="H41" s="11"/>
      <c r="I41" s="27">
        <f t="shared" si="3"/>
        <v>21937.5</v>
      </c>
      <c r="J41" s="28">
        <f>(1+(Summary!$C$12/400))*J40</f>
        <v>1.2671380968230066</v>
      </c>
      <c r="K41" s="21">
        <f t="shared" si="4"/>
        <v>27797.841999054708</v>
      </c>
      <c r="M41" s="20">
        <f>IF(MOD(A41,4)=0,+(M$3-SUM($M$4:M40))*0.25,0)</f>
        <v>0</v>
      </c>
    </row>
    <row r="42" spans="1:13" ht="12.75">
      <c r="A42" s="17">
        <v>40</v>
      </c>
      <c r="B42" s="20">
        <f t="shared" si="0"/>
        <v>-664837.7728972342</v>
      </c>
      <c r="C42" s="20">
        <f>-(Summary!$C$9/4)*J42</f>
        <v>-2390.7332061152824</v>
      </c>
      <c r="D42" s="20">
        <f t="shared" si="2"/>
        <v>27971.578511548803</v>
      </c>
      <c r="E42" s="20">
        <f>+Summary!$C$14*Model!B42/400</f>
        <v>-4986.283296729256</v>
      </c>
      <c r="F42" s="20">
        <f>IF(MOD(A42,4)=0,-(SUM(C35:E38)-M42)*Summary!$C$15/100,0)</f>
        <v>-11505.062105424364</v>
      </c>
      <c r="G42" s="21">
        <f t="shared" si="1"/>
        <v>-655748.2729939542</v>
      </c>
      <c r="H42" s="11"/>
      <c r="I42" s="27">
        <f t="shared" si="3"/>
        <v>21937.5</v>
      </c>
      <c r="J42" s="28">
        <f>(1+(Summary!$C$12/400))*J41</f>
        <v>1.2750577099281506</v>
      </c>
      <c r="K42" s="21">
        <f t="shared" si="4"/>
        <v>27971.578511548803</v>
      </c>
      <c r="M42" s="20">
        <f>IF(MOD(A42,4)=0,+(M$3-SUM($M$4:M41))*0.25,0)</f>
        <v>37542.34313964844</v>
      </c>
    </row>
    <row r="43" spans="1:13" ht="12.75">
      <c r="A43" s="17">
        <v>41</v>
      </c>
      <c r="B43" s="20">
        <f t="shared" si="0"/>
        <v>-655748.2729939542</v>
      </c>
      <c r="C43" s="20">
        <f>-(Summary!$C$9/4)*J43</f>
        <v>-2405.675288653503</v>
      </c>
      <c r="D43" s="20">
        <f t="shared" si="2"/>
        <v>28146.400877245986</v>
      </c>
      <c r="E43" s="20">
        <f>+Summary!$C$14*Model!B43/400</f>
        <v>-4918.112047454657</v>
      </c>
      <c r="F43" s="20">
        <f>IF(MOD(A43,4)=0,-(SUM(C36:E39)-M43)*Summary!$C$15/100,0)</f>
        <v>0</v>
      </c>
      <c r="G43" s="21">
        <f t="shared" si="1"/>
        <v>-634925.6594528165</v>
      </c>
      <c r="H43" s="11"/>
      <c r="I43" s="27">
        <f t="shared" si="3"/>
        <v>21937.5</v>
      </c>
      <c r="J43" s="28">
        <f>(1+(Summary!$C$12/400))*J42</f>
        <v>1.2830268206152016</v>
      </c>
      <c r="K43" s="21">
        <f t="shared" si="4"/>
        <v>28146.400877245986</v>
      </c>
      <c r="M43" s="20">
        <f>IF(MOD(A43,4)=0,+(M$3-SUM($M$4:M42))*0.25,0)</f>
        <v>0</v>
      </c>
    </row>
    <row r="44" spans="1:13" ht="12.75">
      <c r="A44" s="17">
        <v>42</v>
      </c>
      <c r="B44" s="20">
        <f t="shared" si="0"/>
        <v>-634925.6594528165</v>
      </c>
      <c r="C44" s="20">
        <f>-(Summary!$C$9/4)*J44</f>
        <v>-2420.7107592075877</v>
      </c>
      <c r="D44" s="20">
        <f t="shared" si="2"/>
        <v>28322.315882728777</v>
      </c>
      <c r="E44" s="20">
        <f>+Summary!$C$14*Model!B44/400</f>
        <v>-4761.942445896124</v>
      </c>
      <c r="F44" s="20">
        <f>IF(MOD(A44,4)=0,-(SUM(C37:E40)-M44)*Summary!$C$15/100,0)</f>
        <v>0</v>
      </c>
      <c r="G44" s="21">
        <f t="shared" si="1"/>
        <v>-613785.9967751914</v>
      </c>
      <c r="H44" s="11"/>
      <c r="I44" s="27">
        <f t="shared" si="3"/>
        <v>21937.5</v>
      </c>
      <c r="J44" s="28">
        <f>(1+(Summary!$C$12/400))*J43</f>
        <v>1.2910457382440468</v>
      </c>
      <c r="K44" s="21">
        <f t="shared" si="4"/>
        <v>28322.315882728777</v>
      </c>
      <c r="M44" s="20">
        <f>IF(MOD(A44,4)=0,+(M$3-SUM($M$4:M43))*0.25,0)</f>
        <v>0</v>
      </c>
    </row>
    <row r="45" spans="1:13" ht="12.75">
      <c r="A45" s="17">
        <v>43</v>
      </c>
      <c r="B45" s="20">
        <f t="shared" si="0"/>
        <v>-613785.9967751914</v>
      </c>
      <c r="C45" s="20">
        <f>-(Summary!$C$9/4)*J45</f>
        <v>-2435.8402014526355</v>
      </c>
      <c r="D45" s="20">
        <f t="shared" si="2"/>
        <v>28499.330356995833</v>
      </c>
      <c r="E45" s="20">
        <f>+Summary!$C$14*Model!B45/400</f>
        <v>-4603.394975813936</v>
      </c>
      <c r="F45" s="20">
        <f>IF(MOD(A45,4)=0,-(SUM(C38:E41)-M45)*Summary!$C$15/100,0)</f>
        <v>0</v>
      </c>
      <c r="G45" s="21">
        <f t="shared" si="1"/>
        <v>-592325.9015954621</v>
      </c>
      <c r="H45" s="11"/>
      <c r="I45" s="27">
        <f t="shared" si="3"/>
        <v>21937.5</v>
      </c>
      <c r="J45" s="28">
        <f>(1+(Summary!$C$12/400))*J44</f>
        <v>1.2991147741080722</v>
      </c>
      <c r="K45" s="21">
        <f t="shared" si="4"/>
        <v>28499.330356995833</v>
      </c>
      <c r="M45" s="20">
        <f>IF(MOD(A45,4)=0,+(M$3-SUM($M$4:M44))*0.25,0)</f>
        <v>0</v>
      </c>
    </row>
    <row r="46" spans="1:13" ht="12.75">
      <c r="A46" s="17">
        <v>44</v>
      </c>
      <c r="B46" s="20">
        <f t="shared" si="0"/>
        <v>-592325.9015954621</v>
      </c>
      <c r="C46" s="20">
        <f>-(Summary!$C$9/4)*J46</f>
        <v>-2451.064202711714</v>
      </c>
      <c r="D46" s="20">
        <f t="shared" si="2"/>
        <v>28677.451171727058</v>
      </c>
      <c r="E46" s="20">
        <f>+Summary!$C$14*Model!B46/400</f>
        <v>-4442.444261965966</v>
      </c>
      <c r="F46" s="20">
        <f>IF(MOD(A46,4)=0,-(SUM(C39:E42)-M46)*Summary!$C$15/100,0)</f>
        <v>-15710.56681676373</v>
      </c>
      <c r="G46" s="21">
        <f t="shared" si="1"/>
        <v>-586252.5257051764</v>
      </c>
      <c r="H46" s="11"/>
      <c r="I46" s="27">
        <f t="shared" si="3"/>
        <v>21937.5</v>
      </c>
      <c r="J46" s="28">
        <f>(1+(Summary!$C$12/400))*J45</f>
        <v>1.3072342414462477</v>
      </c>
      <c r="K46" s="21">
        <f t="shared" si="4"/>
        <v>28677.451171727058</v>
      </c>
      <c r="M46" s="20">
        <f>IF(MOD(A46,4)=0,+(M$3-SUM($M$4:M45))*0.25,0)</f>
        <v>28156.757354736328</v>
      </c>
    </row>
    <row r="47" spans="1:13" ht="12.75">
      <c r="A47" s="17">
        <v>45</v>
      </c>
      <c r="B47" s="20">
        <f t="shared" si="0"/>
        <v>-586252.5257051764</v>
      </c>
      <c r="C47" s="20">
        <f>-(Summary!$C$9/4)*J47</f>
        <v>-2466.383353978663</v>
      </c>
      <c r="D47" s="20">
        <f t="shared" si="2"/>
        <v>28856.685241550356</v>
      </c>
      <c r="E47" s="20">
        <f>+Summary!$C$14*Model!B47/400</f>
        <v>-4396.893942788823</v>
      </c>
      <c r="F47" s="20">
        <f>IF(MOD(A47,4)=0,-(SUM(C40:E43)-M47)*Summary!$C$15/100,0)</f>
        <v>0</v>
      </c>
      <c r="G47" s="21">
        <f t="shared" si="1"/>
        <v>-564259.1177603935</v>
      </c>
      <c r="H47" s="11"/>
      <c r="I47" s="27">
        <f t="shared" si="3"/>
        <v>21937.5</v>
      </c>
      <c r="J47" s="28">
        <f>(1+(Summary!$C$12/400))*J46</f>
        <v>1.3154044554552868</v>
      </c>
      <c r="K47" s="21">
        <f t="shared" si="4"/>
        <v>28856.685241550356</v>
      </c>
      <c r="M47" s="20">
        <f>IF(MOD(A47,4)=0,+(M$3-SUM($M$4:M46))*0.25,0)</f>
        <v>0</v>
      </c>
    </row>
    <row r="48" spans="1:13" ht="12.75">
      <c r="A48" s="17">
        <v>46</v>
      </c>
      <c r="B48" s="20">
        <f t="shared" si="0"/>
        <v>-564259.1177603935</v>
      </c>
      <c r="C48" s="20">
        <f>-(Summary!$C$9/4)*J48</f>
        <v>-2481.79824994103</v>
      </c>
      <c r="D48" s="20">
        <f t="shared" si="2"/>
        <v>29037.03952431005</v>
      </c>
      <c r="E48" s="20">
        <f>+Summary!$C$14*Model!B48/400</f>
        <v>-4231.943383202952</v>
      </c>
      <c r="F48" s="20">
        <f>IF(MOD(A48,4)=0,-(SUM(C41:E44)-M48)*Summary!$C$15/100,0)</f>
        <v>0</v>
      </c>
      <c r="G48" s="21">
        <f t="shared" si="1"/>
        <v>-541935.8198692276</v>
      </c>
      <c r="H48" s="11"/>
      <c r="I48" s="27">
        <f t="shared" si="3"/>
        <v>21937.5</v>
      </c>
      <c r="J48" s="28">
        <f>(1+(Summary!$C$12/400))*J47</f>
        <v>1.3236257333018826</v>
      </c>
      <c r="K48" s="21">
        <f t="shared" si="4"/>
        <v>29037.03952431005</v>
      </c>
      <c r="M48" s="20">
        <f>IF(MOD(A48,4)=0,+(M$3-SUM($M$4:M47))*0.25,0)</f>
        <v>0</v>
      </c>
    </row>
    <row r="49" spans="1:13" ht="12.75">
      <c r="A49" s="17">
        <v>47</v>
      </c>
      <c r="B49" s="20">
        <f t="shared" si="0"/>
        <v>-541935.8198692276</v>
      </c>
      <c r="C49" s="20">
        <f>-(Summary!$C$9/4)*J49</f>
        <v>-2497.3094890031616</v>
      </c>
      <c r="D49" s="20">
        <f t="shared" si="2"/>
        <v>29218.52102133699</v>
      </c>
      <c r="E49" s="20">
        <f>+Summary!$C$14*Model!B49/400</f>
        <v>-4064.518649019207</v>
      </c>
      <c r="F49" s="20">
        <f>IF(MOD(A49,4)=0,-(SUM(C42:E45)-M49)*Summary!$C$15/100,0)</f>
        <v>0</v>
      </c>
      <c r="G49" s="21">
        <f t="shared" si="1"/>
        <v>-519279.1269859129</v>
      </c>
      <c r="H49" s="11"/>
      <c r="I49" s="27">
        <f t="shared" si="3"/>
        <v>21937.5</v>
      </c>
      <c r="J49" s="28">
        <f>(1+(Summary!$C$12/400))*J48</f>
        <v>1.3318983941350195</v>
      </c>
      <c r="K49" s="21">
        <f t="shared" si="4"/>
        <v>29218.52102133699</v>
      </c>
      <c r="M49" s="20">
        <f>IF(MOD(A49,4)=0,+(M$3-SUM($M$4:M48))*0.25,0)</f>
        <v>0</v>
      </c>
    </row>
    <row r="50" spans="1:13" ht="12.75">
      <c r="A50" s="17">
        <v>48</v>
      </c>
      <c r="B50" s="20">
        <f t="shared" si="0"/>
        <v>-519279.1269859129</v>
      </c>
      <c r="C50" s="20">
        <f>-(Summary!$C$9/4)*J50</f>
        <v>-2512.9176733094314</v>
      </c>
      <c r="D50" s="20">
        <f t="shared" si="2"/>
        <v>29401.13677772035</v>
      </c>
      <c r="E50" s="20">
        <f>+Summary!$C$14*Model!B50/400</f>
        <v>-3894.593452394347</v>
      </c>
      <c r="F50" s="20">
        <f>IF(MOD(A50,4)=0,-(SUM(C43:E46)-M50)*Summary!$C$15/100,0)</f>
        <v>-19226.623826846782</v>
      </c>
      <c r="G50" s="21">
        <f t="shared" si="1"/>
        <v>-515512.12516074313</v>
      </c>
      <c r="H50" s="11"/>
      <c r="I50" s="27">
        <f t="shared" si="3"/>
        <v>21937.5</v>
      </c>
      <c r="J50" s="28">
        <f>(1+(Summary!$C$12/400))*J49</f>
        <v>1.3402227590983635</v>
      </c>
      <c r="K50" s="21">
        <f t="shared" si="4"/>
        <v>29401.13677772035</v>
      </c>
      <c r="M50" s="20">
        <f>IF(MOD(A50,4)=0,+(M$3-SUM($M$4:M49))*0.25,0)</f>
        <v>21117.568016052246</v>
      </c>
    </row>
    <row r="51" spans="1:13" ht="12.75">
      <c r="A51" s="17">
        <v>49</v>
      </c>
      <c r="B51" s="20">
        <f t="shared" si="0"/>
        <v>-515512.12516074313</v>
      </c>
      <c r="C51" s="20">
        <f>-(Summary!$C$9/4)*J51</f>
        <v>-2528.6234087676157</v>
      </c>
      <c r="D51" s="20">
        <f t="shared" si="2"/>
        <v>29584.893882581106</v>
      </c>
      <c r="E51" s="20">
        <f>+Summary!$C$14*Model!B51/400</f>
        <v>-3866.340938705574</v>
      </c>
      <c r="F51" s="20">
        <f>IF(MOD(A51,4)=0,-(SUM(C44:E47)-M51)*Summary!$C$15/100,0)</f>
        <v>0</v>
      </c>
      <c r="G51" s="21">
        <f t="shared" si="1"/>
        <v>-492322.1956256353</v>
      </c>
      <c r="H51" s="11"/>
      <c r="I51" s="27">
        <f t="shared" si="3"/>
        <v>21937.5</v>
      </c>
      <c r="J51" s="28">
        <f>(1+(Summary!$C$12/400))*J50</f>
        <v>1.3485991513427285</v>
      </c>
      <c r="K51" s="21">
        <f t="shared" si="4"/>
        <v>29584.893882581106</v>
      </c>
      <c r="M51" s="20">
        <f>IF(MOD(A51,4)=0,+(M$3-SUM($M$4:M50))*0.25,0)</f>
        <v>0</v>
      </c>
    </row>
    <row r="52" spans="1:13" ht="12.75">
      <c r="A52" s="17">
        <v>50</v>
      </c>
      <c r="B52" s="20">
        <f t="shared" si="0"/>
        <v>-492322.1956256353</v>
      </c>
      <c r="C52" s="20">
        <f>-(Summary!$C$9/4)*J52</f>
        <v>-2544.4273050724137</v>
      </c>
      <c r="D52" s="20">
        <f t="shared" si="2"/>
        <v>29769.79946934724</v>
      </c>
      <c r="E52" s="20">
        <f>+Summary!$C$14*Model!B52/400</f>
        <v>-3692.4164671922645</v>
      </c>
      <c r="F52" s="20">
        <f>IF(MOD(A52,4)=0,-(SUM(C45:E48)-M52)*Summary!$C$15/100,0)</f>
        <v>0</v>
      </c>
      <c r="G52" s="21">
        <f t="shared" si="1"/>
        <v>-468789.23992855276</v>
      </c>
      <c r="H52" s="11"/>
      <c r="I52" s="27">
        <f t="shared" si="3"/>
        <v>21937.5</v>
      </c>
      <c r="J52" s="28">
        <f>(1+(Summary!$C$12/400))*J51</f>
        <v>1.3570278960386206</v>
      </c>
      <c r="K52" s="21">
        <f t="shared" si="4"/>
        <v>29769.79946934724</v>
      </c>
      <c r="M52" s="20">
        <f>IF(MOD(A52,4)=0,+(M$3-SUM($M$4:M51))*0.25,0)</f>
        <v>0</v>
      </c>
    </row>
    <row r="53" spans="1:13" ht="12.75">
      <c r="A53" s="17">
        <v>51</v>
      </c>
      <c r="B53" s="20">
        <f t="shared" si="0"/>
        <v>-468789.23992855276</v>
      </c>
      <c r="C53" s="20">
        <f>-(Summary!$C$9/4)*J53</f>
        <v>-2560.3299757291165</v>
      </c>
      <c r="D53" s="20">
        <f t="shared" si="2"/>
        <v>29955.860716030664</v>
      </c>
      <c r="E53" s="20">
        <f>+Summary!$C$14*Model!B53/400</f>
        <v>-3515.9192994641453</v>
      </c>
      <c r="F53" s="20">
        <f>IF(MOD(A53,4)=0,-(SUM(C46:E49)-M53)*Summary!$C$15/100,0)</f>
        <v>0</v>
      </c>
      <c r="G53" s="21">
        <f t="shared" si="1"/>
        <v>-444909.6284877154</v>
      </c>
      <c r="H53" s="11"/>
      <c r="I53" s="27">
        <f t="shared" si="3"/>
        <v>21937.5</v>
      </c>
      <c r="J53" s="28">
        <f>(1+(Summary!$C$12/400))*J52</f>
        <v>1.3655093203888622</v>
      </c>
      <c r="K53" s="21">
        <f t="shared" si="4"/>
        <v>29955.860716030664</v>
      </c>
      <c r="M53" s="20">
        <f>IF(MOD(A53,4)=0,+(M$3-SUM($M$4:M52))*0.25,0)</f>
        <v>0</v>
      </c>
    </row>
    <row r="54" spans="1:13" ht="12.75">
      <c r="A54" s="17">
        <v>52</v>
      </c>
      <c r="B54" s="20">
        <f t="shared" si="0"/>
        <v>-444909.6284877154</v>
      </c>
      <c r="C54" s="20">
        <f>-(Summary!$C$9/4)*J54</f>
        <v>-2576.3320380774235</v>
      </c>
      <c r="D54" s="20">
        <f t="shared" si="2"/>
        <v>30143.084845505855</v>
      </c>
      <c r="E54" s="20">
        <f>+Summary!$C$14*Model!B54/400</f>
        <v>-3336.822213657865</v>
      </c>
      <c r="F54" s="20">
        <f>IF(MOD(A54,4)=0,-(SUM(C47:E50)-M54)*Summary!$C$15/100,0)</f>
        <v>-22238.654507772284</v>
      </c>
      <c r="G54" s="21">
        <f t="shared" si="1"/>
        <v>-442918.3524017171</v>
      </c>
      <c r="H54" s="11"/>
      <c r="I54" s="27">
        <f t="shared" si="3"/>
        <v>21937.5</v>
      </c>
      <c r="J54" s="28">
        <f>(1+(Summary!$C$12/400))*J53</f>
        <v>1.3740437536412926</v>
      </c>
      <c r="K54" s="21">
        <f t="shared" si="4"/>
        <v>30143.084845505855</v>
      </c>
      <c r="M54" s="20">
        <f>IF(MOD(A54,4)=0,+(M$3-SUM($M$4:M53))*0.25,0)</f>
        <v>15838.176012039185</v>
      </c>
    </row>
    <row r="55" spans="1:13" ht="12.75">
      <c r="A55" s="17">
        <v>53</v>
      </c>
      <c r="B55" s="20">
        <f t="shared" si="0"/>
        <v>-442918.3524017171</v>
      </c>
      <c r="C55" s="20">
        <f>-(Summary!$C$9/4)*J55</f>
        <v>-2592.4341133154076</v>
      </c>
      <c r="D55" s="20">
        <f t="shared" si="2"/>
        <v>30331.47912579027</v>
      </c>
      <c r="E55" s="20">
        <f>+Summary!$C$14*Model!B55/400</f>
        <v>-3321.8876430128785</v>
      </c>
      <c r="F55" s="20">
        <f>IF(MOD(A55,4)=0,-(SUM(C48:E51)-M55)*Summary!$C$15/100,0)</f>
        <v>0</v>
      </c>
      <c r="G55" s="21">
        <f t="shared" si="1"/>
        <v>-418501.1950322551</v>
      </c>
      <c r="H55" s="11"/>
      <c r="I55" s="27">
        <f t="shared" si="3"/>
        <v>21937.5</v>
      </c>
      <c r="J55" s="28">
        <f>(1+(Summary!$C$12/400))*J54</f>
        <v>1.3826315271015508</v>
      </c>
      <c r="K55" s="21">
        <f t="shared" si="4"/>
        <v>30331.47912579027</v>
      </c>
      <c r="M55" s="20">
        <f>IF(MOD(A55,4)=0,+(M$3-SUM($M$4:M54))*0.25,0)</f>
        <v>0</v>
      </c>
    </row>
    <row r="56" spans="1:13" ht="12.75">
      <c r="A56" s="17">
        <v>54</v>
      </c>
      <c r="B56" s="20">
        <f t="shared" si="0"/>
        <v>-418501.1950322551</v>
      </c>
      <c r="C56" s="20">
        <f>-(Summary!$C$9/4)*J56</f>
        <v>-2608.636826523629</v>
      </c>
      <c r="D56" s="20">
        <f t="shared" si="2"/>
        <v>30521.05087032646</v>
      </c>
      <c r="E56" s="20">
        <f>+Summary!$C$14*Model!B56/400</f>
        <v>-3138.7589627419134</v>
      </c>
      <c r="F56" s="20">
        <f>IF(MOD(A56,4)=0,-(SUM(C49:E52)-M56)*Summary!$C$15/100,0)</f>
        <v>0</v>
      </c>
      <c r="G56" s="21">
        <f t="shared" si="1"/>
        <v>-393727.5399511942</v>
      </c>
      <c r="H56" s="11"/>
      <c r="I56" s="27">
        <f t="shared" si="3"/>
        <v>21937.5</v>
      </c>
      <c r="J56" s="28">
        <f>(1+(Summary!$C$12/400))*J55</f>
        <v>1.3912729741459355</v>
      </c>
      <c r="K56" s="21">
        <f t="shared" si="4"/>
        <v>30521.05087032646</v>
      </c>
      <c r="M56" s="20">
        <f>IF(MOD(A56,4)=0,+(M$3-SUM($M$4:M55))*0.25,0)</f>
        <v>0</v>
      </c>
    </row>
    <row r="57" spans="1:13" ht="12.75">
      <c r="A57" s="17">
        <v>55</v>
      </c>
      <c r="B57" s="20">
        <f t="shared" si="0"/>
        <v>-393727.5399511942</v>
      </c>
      <c r="C57" s="20">
        <f>-(Summary!$C$9/4)*J57</f>
        <v>-2624.940806689402</v>
      </c>
      <c r="D57" s="20">
        <f t="shared" si="2"/>
        <v>30711.807438266005</v>
      </c>
      <c r="E57" s="20">
        <f>+Summary!$C$14*Model!B57/400</f>
        <v>-2952.956549633957</v>
      </c>
      <c r="F57" s="20">
        <f>IF(MOD(A57,4)=0,-(SUM(C50:E53)-M57)*Summary!$C$15/100,0)</f>
        <v>0</v>
      </c>
      <c r="G57" s="21">
        <f t="shared" si="1"/>
        <v>-368593.6298692515</v>
      </c>
      <c r="H57" s="11"/>
      <c r="I57" s="27">
        <f t="shared" si="3"/>
        <v>21937.5</v>
      </c>
      <c r="J57" s="28">
        <f>(1+(Summary!$C$12/400))*J56</f>
        <v>1.3999684302343478</v>
      </c>
      <c r="K57" s="21">
        <f t="shared" si="4"/>
        <v>30711.807438266005</v>
      </c>
      <c r="M57" s="20">
        <f>IF(MOD(A57,4)=0,+(M$3-SUM($M$4:M56))*0.25,0)</f>
        <v>0</v>
      </c>
    </row>
    <row r="58" spans="1:13" ht="12.75">
      <c r="A58" s="17">
        <v>56</v>
      </c>
      <c r="B58" s="20">
        <f t="shared" si="0"/>
        <v>-368593.6298692515</v>
      </c>
      <c r="C58" s="20">
        <f>-(Summary!$C$9/4)*J58</f>
        <v>-2641.346686731211</v>
      </c>
      <c r="D58" s="20">
        <f t="shared" si="2"/>
        <v>30903.75623475517</v>
      </c>
      <c r="E58" s="20">
        <f>+Summary!$C$14*Model!B58/400</f>
        <v>-2764.4522240193864</v>
      </c>
      <c r="F58" s="20">
        <f>IF(MOD(A58,4)=0,-(SUM(C51:E54)-M58)*Summary!$C$15/100,0)</f>
        <v>-24886.138577330712</v>
      </c>
      <c r="G58" s="21">
        <f t="shared" si="1"/>
        <v>-367981.81112257764</v>
      </c>
      <c r="H58" s="11"/>
      <c r="I58" s="27">
        <f t="shared" si="3"/>
        <v>21937.5</v>
      </c>
      <c r="J58" s="28">
        <f>(1+(Summary!$C$12/400))*J57</f>
        <v>1.4087182329233126</v>
      </c>
      <c r="K58" s="21">
        <f t="shared" si="4"/>
        <v>30903.75623475517</v>
      </c>
      <c r="M58" s="20">
        <f>IF(MOD(A58,4)=0,+(M$3-SUM($M$4:M57))*0.25,0)</f>
        <v>11878.632009029388</v>
      </c>
    </row>
    <row r="59" spans="1:13" ht="12.75">
      <c r="A59" s="17">
        <v>57</v>
      </c>
      <c r="B59" s="20">
        <f t="shared" si="0"/>
        <v>-367981.81112257764</v>
      </c>
      <c r="C59" s="20">
        <f>-(Summary!$C$9/4)*J59</f>
        <v>-2657.8551035232813</v>
      </c>
      <c r="D59" s="20">
        <f t="shared" si="2"/>
        <v>31096.904711222393</v>
      </c>
      <c r="E59" s="20">
        <f>+Summary!$C$14*Model!B59/400</f>
        <v>-2759.8635834193324</v>
      </c>
      <c r="F59" s="20">
        <f>IF(MOD(A59,4)=0,-(SUM(C52:E55)-M59)*Summary!$C$15/100,0)</f>
        <v>0</v>
      </c>
      <c r="G59" s="21">
        <f t="shared" si="1"/>
        <v>-342302.6250982979</v>
      </c>
      <c r="H59" s="11"/>
      <c r="I59" s="27">
        <f t="shared" si="3"/>
        <v>21937.5</v>
      </c>
      <c r="J59" s="28">
        <f>(1+(Summary!$C$12/400))*J58</f>
        <v>1.4175227218790833</v>
      </c>
      <c r="K59" s="21">
        <f t="shared" si="4"/>
        <v>31096.904711222393</v>
      </c>
      <c r="M59" s="20">
        <f>IF(MOD(A59,4)=0,+(M$3-SUM($M$4:M58))*0.25,0)</f>
        <v>0</v>
      </c>
    </row>
    <row r="60" spans="1:13" ht="12.75">
      <c r="A60" s="17">
        <v>58</v>
      </c>
      <c r="B60" s="20">
        <f t="shared" si="0"/>
        <v>-342302.6250982979</v>
      </c>
      <c r="C60" s="20">
        <f>-(Summary!$C$9/4)*J60</f>
        <v>-2674.466697920302</v>
      </c>
      <c r="D60" s="20">
        <f t="shared" si="2"/>
        <v>31291.260365667535</v>
      </c>
      <c r="E60" s="20">
        <f>+Summary!$C$14*Model!B60/400</f>
        <v>-2567.2696882372343</v>
      </c>
      <c r="F60" s="20">
        <f>IF(MOD(A60,4)=0,-(SUM(C53:E56)-M60)*Summary!$C$15/100,0)</f>
        <v>0</v>
      </c>
      <c r="G60" s="21">
        <f t="shared" si="1"/>
        <v>-316253.1011187879</v>
      </c>
      <c r="H60" s="11"/>
      <c r="I60" s="27">
        <f t="shared" si="3"/>
        <v>21937.5</v>
      </c>
      <c r="J60" s="28">
        <f>(1+(Summary!$C$12/400))*J59</f>
        <v>1.4263822388908278</v>
      </c>
      <c r="K60" s="21">
        <f t="shared" si="4"/>
        <v>31291.260365667535</v>
      </c>
      <c r="M60" s="20">
        <f>IF(MOD(A60,4)=0,+(M$3-SUM($M$4:M59))*0.25,0)</f>
        <v>0</v>
      </c>
    </row>
    <row r="61" spans="1:13" ht="12.75">
      <c r="A61" s="17">
        <v>59</v>
      </c>
      <c r="B61" s="20">
        <f t="shared" si="0"/>
        <v>-316253.1011187879</v>
      </c>
      <c r="C61" s="20">
        <f>-(Summary!$C$9/4)*J61</f>
        <v>-2691.182114782304</v>
      </c>
      <c r="D61" s="20">
        <f t="shared" si="2"/>
        <v>31486.83074295296</v>
      </c>
      <c r="E61" s="20">
        <f>+Summary!$C$14*Model!B61/400</f>
        <v>-2371.898258390909</v>
      </c>
      <c r="F61" s="20">
        <f>IF(MOD(A61,4)=0,-(SUM(C54:E57)-M61)*Summary!$C$15/100,0)</f>
        <v>0</v>
      </c>
      <c r="G61" s="21">
        <f t="shared" si="1"/>
        <v>-289829.3507490081</v>
      </c>
      <c r="H61" s="11"/>
      <c r="I61" s="27">
        <f t="shared" si="3"/>
        <v>21937.5</v>
      </c>
      <c r="J61" s="28">
        <f>(1+(Summary!$C$12/400))*J60</f>
        <v>1.4352971278838955</v>
      </c>
      <c r="K61" s="21">
        <f t="shared" si="4"/>
        <v>31486.83074295296</v>
      </c>
      <c r="M61" s="20">
        <f>IF(MOD(A61,4)=0,+(M$3-SUM($M$4:M60))*0.25,0)</f>
        <v>0</v>
      </c>
    </row>
    <row r="62" spans="1:13" ht="12.75">
      <c r="A62" s="17">
        <v>60</v>
      </c>
      <c r="B62" s="20">
        <f t="shared" si="0"/>
        <v>-289829.3507490081</v>
      </c>
      <c r="C62" s="20">
        <f>-(Summary!$C$9/4)*J62</f>
        <v>-2708.002002999694</v>
      </c>
      <c r="D62" s="20">
        <f t="shared" si="2"/>
        <v>31683.62343509642</v>
      </c>
      <c r="E62" s="20">
        <f>+Summary!$C$14*Model!B62/400</f>
        <v>-2173.720130617561</v>
      </c>
      <c r="F62" s="20">
        <f>IF(MOD(A62,4)=0,-(SUM(C55:E58)-M62)*Summary!$C$15/100,0)</f>
        <v>-27274.11175490942</v>
      </c>
      <c r="G62" s="21">
        <f t="shared" si="1"/>
        <v>-290301.56120243843</v>
      </c>
      <c r="H62" s="11"/>
      <c r="I62" s="27">
        <f t="shared" si="3"/>
        <v>21937.5</v>
      </c>
      <c r="J62" s="28">
        <f>(1+(Summary!$C$12/400))*J61</f>
        <v>1.44426773493317</v>
      </c>
      <c r="K62" s="21">
        <f t="shared" si="4"/>
        <v>31683.62343509642</v>
      </c>
      <c r="M62" s="20">
        <f>IF(MOD(A62,4)=0,+(M$3-SUM($M$4:M61))*0.25,0)</f>
        <v>8908.974006772041</v>
      </c>
    </row>
    <row r="63" spans="1:13" ht="12.75">
      <c r="A63" s="17">
        <v>61</v>
      </c>
      <c r="B63" s="20">
        <f t="shared" si="0"/>
        <v>-290301.56120243843</v>
      </c>
      <c r="C63" s="20">
        <f>-(Summary!$C$9/4)*J63</f>
        <v>-2724.927015518442</v>
      </c>
      <c r="D63" s="20">
        <f t="shared" si="2"/>
        <v>31881.646081565774</v>
      </c>
      <c r="E63" s="20">
        <f>+Summary!$C$14*Model!B63/400</f>
        <v>-2177.2617090182885</v>
      </c>
      <c r="F63" s="20">
        <f>IF(MOD(A63,4)=0,-(SUM(C56:E59)-M63)*Summary!$C$15/100,0)</f>
        <v>0</v>
      </c>
      <c r="G63" s="21">
        <f t="shared" si="1"/>
        <v>-263322.10384540935</v>
      </c>
      <c r="H63" s="11"/>
      <c r="I63" s="27">
        <f t="shared" si="3"/>
        <v>21937.5</v>
      </c>
      <c r="J63" s="28">
        <f>(1+(Summary!$C$12/400))*J62</f>
        <v>1.4532944082765025</v>
      </c>
      <c r="K63" s="21">
        <f t="shared" si="4"/>
        <v>31881.646081565774</v>
      </c>
      <c r="M63" s="20">
        <f>IF(MOD(A63,4)=0,+(M$3-SUM($M$4:M62))*0.25,0)</f>
        <v>0</v>
      </c>
    </row>
    <row r="64" spans="1:13" ht="12.75">
      <c r="A64" s="17">
        <v>62</v>
      </c>
      <c r="B64" s="20">
        <f t="shared" si="0"/>
        <v>-263322.10384540935</v>
      </c>
      <c r="C64" s="20">
        <f>-(Summary!$C$9/4)*J64</f>
        <v>-2741.9578093654327</v>
      </c>
      <c r="D64" s="20">
        <f t="shared" si="2"/>
        <v>32080.90636957556</v>
      </c>
      <c r="E64" s="20">
        <f>+Summary!$C$14*Model!B64/400</f>
        <v>-1974.91577884057</v>
      </c>
      <c r="F64" s="20">
        <f>IF(MOD(A64,4)=0,-(SUM(C57:E60)-M64)*Summary!$C$15/100,0)</f>
        <v>0</v>
      </c>
      <c r="G64" s="21">
        <f t="shared" si="1"/>
        <v>-235958.07106403977</v>
      </c>
      <c r="H64" s="11"/>
      <c r="I64" s="27">
        <f t="shared" si="3"/>
        <v>21937.5</v>
      </c>
      <c r="J64" s="28">
        <f>(1+(Summary!$C$12/400))*J63</f>
        <v>1.4623774983282307</v>
      </c>
      <c r="K64" s="21">
        <f t="shared" si="4"/>
        <v>32080.90636957556</v>
      </c>
      <c r="M64" s="20">
        <f>IF(MOD(A64,4)=0,+(M$3-SUM($M$4:M63))*0.25,0)</f>
        <v>0</v>
      </c>
    </row>
    <row r="65" spans="1:13" ht="12.75">
      <c r="A65" s="17">
        <v>63</v>
      </c>
      <c r="B65" s="20">
        <f t="shared" si="0"/>
        <v>-235958.07106403977</v>
      </c>
      <c r="C65" s="20">
        <f>-(Summary!$C$9/4)*J65</f>
        <v>-2759.0950456739665</v>
      </c>
      <c r="D65" s="20">
        <f t="shared" si="2"/>
        <v>32281.412034385412</v>
      </c>
      <c r="E65" s="20">
        <f>+Summary!$C$14*Model!B65/400</f>
        <v>-1769.6855329802981</v>
      </c>
      <c r="F65" s="20">
        <f>IF(MOD(A65,4)=0,-(SUM(C58:E61)-M65)*Summary!$C$15/100,0)</f>
        <v>0</v>
      </c>
      <c r="G65" s="21">
        <f t="shared" si="1"/>
        <v>-208205.43960830863</v>
      </c>
      <c r="H65" s="11"/>
      <c r="I65" s="27">
        <f t="shared" si="3"/>
        <v>21937.5</v>
      </c>
      <c r="J65" s="28">
        <f>(1+(Summary!$C$12/400))*J64</f>
        <v>1.4715173576927822</v>
      </c>
      <c r="K65" s="21">
        <f t="shared" si="4"/>
        <v>32281.412034385412</v>
      </c>
      <c r="M65" s="20">
        <f>IF(MOD(A65,4)=0,+(M$3-SUM($M$4:M64))*0.25,0)</f>
        <v>0</v>
      </c>
    </row>
    <row r="66" spans="1:13" ht="12.75">
      <c r="A66" s="17">
        <v>64</v>
      </c>
      <c r="B66" s="20">
        <f t="shared" si="0"/>
        <v>-208205.43960830863</v>
      </c>
      <c r="C66" s="20">
        <f>-(Summary!$C$9/4)*J66</f>
        <v>-2776.3393897094293</v>
      </c>
      <c r="D66" s="20">
        <f t="shared" si="2"/>
        <v>32483.170859600323</v>
      </c>
      <c r="E66" s="20">
        <f>+Summary!$C$14*Model!B66/400</f>
        <v>-1561.5407970623148</v>
      </c>
      <c r="F66" s="20">
        <f>IF(MOD(A66,4)=0,-(SUM(C59:E62)-M66)*Summary!$C$15/100,0)</f>
        <v>-29481.7893509909</v>
      </c>
      <c r="G66" s="21">
        <f t="shared" si="1"/>
        <v>-209541.93828647095</v>
      </c>
      <c r="H66" s="11"/>
      <c r="I66" s="27">
        <f t="shared" si="3"/>
        <v>21937.5</v>
      </c>
      <c r="J66" s="28">
        <f>(1+(Summary!$C$12/400))*J65</f>
        <v>1.4807143411783623</v>
      </c>
      <c r="K66" s="21">
        <f t="shared" si="4"/>
        <v>32483.170859600323</v>
      </c>
      <c r="M66" s="20">
        <f>IF(MOD(A66,4)=0,+(M$3-SUM($M$4:M65))*0.25,0)</f>
        <v>6681.730505079031</v>
      </c>
    </row>
    <row r="67" spans="1:13" ht="12.75">
      <c r="A67" s="17">
        <v>65</v>
      </c>
      <c r="B67" s="20">
        <f t="shared" si="0"/>
        <v>-209541.93828647095</v>
      </c>
      <c r="C67" s="20">
        <f>-(Summary!$C$9/4)*J67</f>
        <v>-2793.6915108951134</v>
      </c>
      <c r="D67" s="20">
        <f t="shared" si="2"/>
        <v>32686.190677472827</v>
      </c>
      <c r="E67" s="20">
        <f>+Summary!$C$14*Model!B67/400</f>
        <v>-1571.564537148532</v>
      </c>
      <c r="F67" s="20">
        <f>IF(MOD(A67,4)=0,-(SUM(C60:E63)-M67)*Summary!$C$15/100,0)</f>
        <v>0</v>
      </c>
      <c r="G67" s="21">
        <f t="shared" si="1"/>
        <v>-181221.0036570418</v>
      </c>
      <c r="H67" s="11"/>
      <c r="I67" s="27">
        <f t="shared" si="3"/>
        <v>21937.5</v>
      </c>
      <c r="J67" s="28">
        <f>(1+(Summary!$C$12/400))*J66</f>
        <v>1.4899688058107272</v>
      </c>
      <c r="K67" s="21">
        <f t="shared" si="4"/>
        <v>32686.190677472827</v>
      </c>
      <c r="M67" s="20">
        <f>IF(MOD(A67,4)=0,+(M$3-SUM($M$4:M66))*0.25,0)</f>
        <v>0</v>
      </c>
    </row>
    <row r="68" spans="1:13" ht="12.75">
      <c r="A68" s="17">
        <v>66</v>
      </c>
      <c r="B68" s="20">
        <f aca="true" t="shared" si="5" ref="B68:B118">G67</f>
        <v>-181221.0036570418</v>
      </c>
      <c r="C68" s="20">
        <f>-(Summary!$C$9/4)*J68</f>
        <v>-2811.152082838208</v>
      </c>
      <c r="D68" s="20">
        <f t="shared" si="2"/>
        <v>32890.47936920703</v>
      </c>
      <c r="E68" s="20">
        <f>+Summary!$C$14*Model!B68/400</f>
        <v>-1359.1575274278134</v>
      </c>
      <c r="F68" s="20">
        <f>IF(MOD(A68,4)=0,-(SUM(C61:E64)-M68)*Summary!$C$15/100,0)</f>
        <v>0</v>
      </c>
      <c r="G68" s="21">
        <f aca="true" t="shared" si="6" ref="G68:G118">SUM(B68:F68)</f>
        <v>-152500.83389810077</v>
      </c>
      <c r="H68" s="11"/>
      <c r="I68" s="27">
        <f t="shared" si="3"/>
        <v>21937.5</v>
      </c>
      <c r="J68" s="28">
        <f>(1+(Summary!$C$12/400))*J67</f>
        <v>1.4992811108470443</v>
      </c>
      <c r="K68" s="21">
        <f t="shared" si="4"/>
        <v>32890.47936920703</v>
      </c>
      <c r="M68" s="20">
        <f>IF(MOD(A68,4)=0,+(M$3-SUM($M$4:M67))*0.25,0)</f>
        <v>0</v>
      </c>
    </row>
    <row r="69" spans="1:13" ht="12.75">
      <c r="A69" s="17">
        <v>67</v>
      </c>
      <c r="B69" s="20">
        <f t="shared" si="5"/>
        <v>-152500.83389810077</v>
      </c>
      <c r="C69" s="20">
        <f>-(Summary!$C$9/4)*J69</f>
        <v>-2828.721783355947</v>
      </c>
      <c r="D69" s="20">
        <f aca="true" t="shared" si="7" ref="D69:D122">+K69</f>
        <v>33096.04486526458</v>
      </c>
      <c r="E69" s="20">
        <f>+Summary!$C$14*Model!B69/400</f>
        <v>-1143.7562542357557</v>
      </c>
      <c r="F69" s="20">
        <f>IF(MOD(A69,4)=0,-(SUM(C62:E65)-M69)*Summary!$C$15/100,0)</f>
        <v>0</v>
      </c>
      <c r="G69" s="21">
        <f t="shared" si="6"/>
        <v>-123377.2670704279</v>
      </c>
      <c r="H69" s="11"/>
      <c r="I69" s="27">
        <f aca="true" t="shared" si="8" ref="I69:I122">+I68</f>
        <v>21937.5</v>
      </c>
      <c r="J69" s="28">
        <f>(1+(Summary!$C$12/400))*J68</f>
        <v>1.5086516177898384</v>
      </c>
      <c r="K69" s="21">
        <f aca="true" t="shared" si="9" ref="K69:K122">+I69*J69</f>
        <v>33096.04486526458</v>
      </c>
      <c r="M69" s="20">
        <f>IF(MOD(A69,4)=0,+(M$3-SUM($M$4:M68))*0.25,0)</f>
        <v>0</v>
      </c>
    </row>
    <row r="70" spans="1:13" ht="12.75">
      <c r="A70" s="17">
        <v>68</v>
      </c>
      <c r="B70" s="20">
        <f t="shared" si="5"/>
        <v>-123377.2670704279</v>
      </c>
      <c r="C70" s="20">
        <f>-(Summary!$C$9/4)*J70</f>
        <v>-2846.4012945019217</v>
      </c>
      <c r="D70" s="20">
        <f t="shared" si="7"/>
        <v>33302.89514567248</v>
      </c>
      <c r="E70" s="20">
        <f>+Summary!$C$14*Model!B70/400</f>
        <v>-925.3295030282093</v>
      </c>
      <c r="F70" s="20">
        <f>IF(MOD(A70,4)=0,-(SUM(C63:E66)-M70)*Summary!$C$15/100,0)</f>
        <v>-31569.034316444715</v>
      </c>
      <c r="G70" s="21">
        <f t="shared" si="6"/>
        <v>-125415.13703873024</v>
      </c>
      <c r="H70" s="11"/>
      <c r="I70" s="27">
        <f t="shared" si="8"/>
        <v>21937.5</v>
      </c>
      <c r="J70" s="28">
        <f>(1+(Summary!$C$12/400))*J69</f>
        <v>1.518080690401025</v>
      </c>
      <c r="K70" s="21">
        <f t="shared" si="9"/>
        <v>33302.89514567248</v>
      </c>
      <c r="M70" s="20">
        <f>IF(MOD(A70,4)=0,+(M$3-SUM($M$4:M69))*0.25,0)</f>
        <v>5011.297878809273</v>
      </c>
    </row>
    <row r="71" spans="1:13" ht="12.75">
      <c r="A71" s="17">
        <v>69</v>
      </c>
      <c r="B71" s="20">
        <f t="shared" si="5"/>
        <v>-125415.13703873024</v>
      </c>
      <c r="C71" s="20">
        <f>-(Summary!$C$9/4)*J71</f>
        <v>-2864.1913025925587</v>
      </c>
      <c r="D71" s="20">
        <f t="shared" si="7"/>
        <v>33511.03824033294</v>
      </c>
      <c r="E71" s="20">
        <f>+Summary!$C$14*Model!B71/400</f>
        <v>-940.6135277904768</v>
      </c>
      <c r="F71" s="20">
        <f>IF(MOD(A71,4)=0,-(SUM(C64:E67)-M71)*Summary!$C$15/100,0)</f>
        <v>0</v>
      </c>
      <c r="G71" s="21">
        <f t="shared" si="6"/>
        <v>-95708.90362878035</v>
      </c>
      <c r="H71" s="11"/>
      <c r="I71" s="27">
        <f t="shared" si="8"/>
        <v>21937.5</v>
      </c>
      <c r="J71" s="28">
        <f>(1+(Summary!$C$12/400))*J70</f>
        <v>1.5275686947160314</v>
      </c>
      <c r="K71" s="21">
        <f t="shared" si="9"/>
        <v>33511.03824033294</v>
      </c>
      <c r="M71" s="20">
        <f>IF(MOD(A71,4)=0,+(M$3-SUM($M$4:M70))*0.25,0)</f>
        <v>0</v>
      </c>
    </row>
    <row r="72" spans="1:13" ht="12.75">
      <c r="A72" s="17">
        <v>70</v>
      </c>
      <c r="B72" s="20">
        <f t="shared" si="5"/>
        <v>-95708.90362878035</v>
      </c>
      <c r="C72" s="20">
        <f>-(Summary!$C$9/4)*J72</f>
        <v>-2882.092498233763</v>
      </c>
      <c r="D72" s="20">
        <f t="shared" si="7"/>
        <v>33720.48222933502</v>
      </c>
      <c r="E72" s="20">
        <f>+Summary!$C$14*Model!B72/400</f>
        <v>-717.8167772158527</v>
      </c>
      <c r="F72" s="20">
        <f>IF(MOD(A72,4)=0,-(SUM(C65:E68)-M72)*Summary!$C$15/100,0)</f>
        <v>0</v>
      </c>
      <c r="G72" s="21">
        <f t="shared" si="6"/>
        <v>-65588.33067489494</v>
      </c>
      <c r="H72" s="11"/>
      <c r="I72" s="27">
        <f t="shared" si="8"/>
        <v>21937.5</v>
      </c>
      <c r="J72" s="28">
        <f>(1+(Summary!$C$12/400))*J71</f>
        <v>1.5371159990580068</v>
      </c>
      <c r="K72" s="21">
        <f t="shared" si="9"/>
        <v>33720.48222933502</v>
      </c>
      <c r="M72" s="20">
        <f>IF(MOD(A72,4)=0,+(M$3-SUM($M$4:M71))*0.25,0)</f>
        <v>0</v>
      </c>
    </row>
    <row r="73" spans="1:13" ht="12.75">
      <c r="A73" s="17">
        <v>71</v>
      </c>
      <c r="B73" s="20">
        <f t="shared" si="5"/>
        <v>-65588.33067489494</v>
      </c>
      <c r="C73" s="20">
        <f>-(Summary!$C$9/4)*J73</f>
        <v>-2900.1055763477243</v>
      </c>
      <c r="D73" s="20">
        <f t="shared" si="7"/>
        <v>33931.23524326837</v>
      </c>
      <c r="E73" s="20">
        <f>+Summary!$C$14*Model!B73/400</f>
        <v>-491.9124800617121</v>
      </c>
      <c r="F73" s="20">
        <f>IF(MOD(A73,4)=0,-(SUM(C66:E69)-M73)*Summary!$C$15/100,0)</f>
        <v>0</v>
      </c>
      <c r="G73" s="21">
        <f t="shared" si="6"/>
        <v>-35049.113488036004</v>
      </c>
      <c r="H73" s="11"/>
      <c r="I73" s="27">
        <f t="shared" si="8"/>
        <v>21937.5</v>
      </c>
      <c r="J73" s="28">
        <f>(1+(Summary!$C$12/400))*J72</f>
        <v>1.5467229740521196</v>
      </c>
      <c r="K73" s="21">
        <f t="shared" si="9"/>
        <v>33931.23524326837</v>
      </c>
      <c r="M73" s="20">
        <f>IF(MOD(A73,4)=0,+(M$3-SUM($M$4:M72))*0.25,0)</f>
        <v>0</v>
      </c>
    </row>
    <row r="74" spans="1:13" ht="12.75">
      <c r="A74" s="17">
        <v>72</v>
      </c>
      <c r="B74" s="20">
        <f t="shared" si="5"/>
        <v>-35049.113488036004</v>
      </c>
      <c r="C74" s="20">
        <f>-(Summary!$C$9/4)*J74</f>
        <v>-2918.2312361998975</v>
      </c>
      <c r="D74" s="20">
        <f t="shared" si="7"/>
        <v>34143.3054635388</v>
      </c>
      <c r="E74" s="20">
        <f>+Summary!$C$14*Model!B74/400</f>
        <v>-262.86835116027004</v>
      </c>
      <c r="F74" s="20">
        <f>IF(MOD(A74,4)=0,-(SUM(C67:E70)-M74)*Summary!$C$15/100,0)</f>
        <v>-33581.20864652354</v>
      </c>
      <c r="G74" s="21">
        <f t="shared" si="6"/>
        <v>-37668.11625838091</v>
      </c>
      <c r="H74" s="11"/>
      <c r="I74" s="27">
        <f t="shared" si="8"/>
        <v>21937.5</v>
      </c>
      <c r="J74" s="28">
        <f>(1+(Summary!$C$12/400))*J73</f>
        <v>1.5563899926399454</v>
      </c>
      <c r="K74" s="21">
        <f t="shared" si="9"/>
        <v>34143.3054635388</v>
      </c>
      <c r="M74" s="20">
        <f>IF(MOD(A74,4)=0,+(M$3-SUM($M$4:M73))*0.25,0)</f>
        <v>3758.473409106955</v>
      </c>
    </row>
    <row r="75" spans="1:13" ht="12.75">
      <c r="A75" s="17">
        <v>73</v>
      </c>
      <c r="B75" s="20">
        <f t="shared" si="5"/>
        <v>-37668.11625838091</v>
      </c>
      <c r="C75" s="20">
        <f>-(Summary!$C$9/4)*J75</f>
        <v>-2936.470181426147</v>
      </c>
      <c r="D75" s="20">
        <f t="shared" si="7"/>
        <v>34356.70112268592</v>
      </c>
      <c r="E75" s="20">
        <f>+Summary!$C$14*Model!B75/400</f>
        <v>-282.51087193785685</v>
      </c>
      <c r="F75" s="20">
        <f>IF(MOD(A75,4)=0,-(SUM(C68:E71)-M75)*Summary!$C$15/100,0)</f>
        <v>0</v>
      </c>
      <c r="G75" s="21">
        <f t="shared" si="6"/>
        <v>-6530.396189059002</v>
      </c>
      <c r="H75" s="11"/>
      <c r="I75" s="27">
        <f t="shared" si="8"/>
        <v>21937.5</v>
      </c>
      <c r="J75" s="28">
        <f>(1+(Summary!$C$12/400))*J74</f>
        <v>1.566117430093945</v>
      </c>
      <c r="K75" s="21">
        <f t="shared" si="9"/>
        <v>34356.70112268592</v>
      </c>
      <c r="M75" s="20">
        <f>IF(MOD(A75,4)=0,+(M$3-SUM($M$4:M74))*0.25,0)</f>
        <v>0</v>
      </c>
    </row>
    <row r="76" spans="1:13" ht="12.75">
      <c r="A76" s="17">
        <v>74</v>
      </c>
      <c r="B76" s="20">
        <f t="shared" si="5"/>
        <v>-6530.396189059002</v>
      </c>
      <c r="C76" s="20">
        <f>-(Summary!$C$9/4)*J76</f>
        <v>-2954.823120060061</v>
      </c>
      <c r="D76" s="20">
        <f t="shared" si="7"/>
        <v>34571.43050470271</v>
      </c>
      <c r="E76" s="20">
        <f>+Summary!$C$14*Model!B76/400</f>
        <v>-48.97797141794252</v>
      </c>
      <c r="F76" s="20">
        <f>IF(MOD(A76,4)=0,-(SUM(C69:E72)-M76)*Summary!$C$15/100,0)</f>
        <v>0</v>
      </c>
      <c r="G76" s="21">
        <f t="shared" si="6"/>
        <v>25037.233224165702</v>
      </c>
      <c r="H76" s="11"/>
      <c r="I76" s="27">
        <f t="shared" si="8"/>
        <v>21937.5</v>
      </c>
      <c r="J76" s="28">
        <f>(1+(Summary!$C$12/400))*J75</f>
        <v>1.5759056640320324</v>
      </c>
      <c r="K76" s="21">
        <f t="shared" si="9"/>
        <v>34571.43050470271</v>
      </c>
      <c r="M76" s="20">
        <f>IF(MOD(A76,4)=0,+(M$3-SUM($M$4:M75))*0.25,0)</f>
        <v>0</v>
      </c>
    </row>
    <row r="77" spans="1:13" ht="12.75">
      <c r="A77" s="17">
        <v>75</v>
      </c>
      <c r="B77" s="20">
        <f t="shared" si="5"/>
        <v>25037.233224165702</v>
      </c>
      <c r="C77" s="20">
        <f>-(Summary!$C$9/4)*J77</f>
        <v>-2973.290764560436</v>
      </c>
      <c r="D77" s="20">
        <f t="shared" si="7"/>
        <v>34787.5019453571</v>
      </c>
      <c r="E77" s="20">
        <f>+Summary!$C$14*Model!B77/400</f>
        <v>187.7792491812428</v>
      </c>
      <c r="F77" s="20">
        <f>IF(MOD(A77,4)=0,-(SUM(C70:E73)-M77)*Summary!$C$15/100,0)</f>
        <v>0</v>
      </c>
      <c r="G77" s="21">
        <f t="shared" si="6"/>
        <v>57039.223654143614</v>
      </c>
      <c r="H77" s="11"/>
      <c r="I77" s="27">
        <f t="shared" si="8"/>
        <v>21937.5</v>
      </c>
      <c r="J77" s="28">
        <f>(1+(Summary!$C$12/400))*J76</f>
        <v>1.5857550744322326</v>
      </c>
      <c r="K77" s="21">
        <f t="shared" si="9"/>
        <v>34787.5019453571</v>
      </c>
      <c r="M77" s="20">
        <f>IF(MOD(A77,4)=0,+(M$3-SUM($M$4:M76))*0.25,0)</f>
        <v>0</v>
      </c>
    </row>
    <row r="78" spans="1:13" ht="12.75">
      <c r="A78" s="17">
        <v>76</v>
      </c>
      <c r="B78" s="20">
        <f t="shared" si="5"/>
        <v>57039.223654143614</v>
      </c>
      <c r="C78" s="20">
        <f>-(Summary!$C$9/4)*J78</f>
        <v>-2991.873831838939</v>
      </c>
      <c r="D78" s="20">
        <f t="shared" si="7"/>
        <v>35004.92383251559</v>
      </c>
      <c r="E78" s="20">
        <f>+Summary!$C$14*Model!B78/400</f>
        <v>427.7941774060771</v>
      </c>
      <c r="F78" s="20">
        <f>IF(MOD(A78,4)=0,-(SUM(C71:E74)-M78)*Summary!$C$15/100,0)</f>
        <v>-35552.81231101279</v>
      </c>
      <c r="G78" s="21">
        <f t="shared" si="6"/>
        <v>53927.25552121355</v>
      </c>
      <c r="H78" s="11"/>
      <c r="I78" s="27">
        <f t="shared" si="8"/>
        <v>21937.5</v>
      </c>
      <c r="J78" s="28">
        <f>(1+(Summary!$C$12/400))*J77</f>
        <v>1.5956660436474341</v>
      </c>
      <c r="K78" s="21">
        <f t="shared" si="9"/>
        <v>35004.92383251559</v>
      </c>
      <c r="M78" s="20">
        <f>IF(MOD(A78,4)=0,+(M$3-SUM($M$4:M77))*0.25,0)</f>
        <v>2818.855056830216</v>
      </c>
    </row>
    <row r="79" spans="1:13" ht="12.75">
      <c r="A79" s="17">
        <v>77</v>
      </c>
      <c r="B79" s="20">
        <f t="shared" si="5"/>
        <v>53927.25552121355</v>
      </c>
      <c r="C79" s="20">
        <f>-(Summary!$C$9/4)*J79</f>
        <v>-3010.5730432879327</v>
      </c>
      <c r="D79" s="20">
        <f t="shared" si="7"/>
        <v>35223.70460646881</v>
      </c>
      <c r="E79" s="20">
        <f>+Summary!$C$14*Model!B79/400</f>
        <v>404.4544164091016</v>
      </c>
      <c r="F79" s="20">
        <f>IF(MOD(A79,4)=0,-(SUM(C72:E75)-M79)*Summary!$C$15/100,0)</f>
        <v>0</v>
      </c>
      <c r="G79" s="21">
        <f t="shared" si="6"/>
        <v>86544.84150080354</v>
      </c>
      <c r="H79" s="11"/>
      <c r="I79" s="27">
        <f t="shared" si="8"/>
        <v>21937.5</v>
      </c>
      <c r="J79" s="28">
        <f>(1+(Summary!$C$12/400))*J78</f>
        <v>1.6056389564202307</v>
      </c>
      <c r="K79" s="21">
        <f t="shared" si="9"/>
        <v>35223.70460646881</v>
      </c>
      <c r="M79" s="20">
        <f>IF(MOD(A79,4)=0,+(M$3-SUM($M$4:M78))*0.25,0)</f>
        <v>0</v>
      </c>
    </row>
    <row r="80" spans="1:13" ht="12.75">
      <c r="A80" s="17">
        <v>78</v>
      </c>
      <c r="B80" s="20">
        <f t="shared" si="5"/>
        <v>86544.84150080354</v>
      </c>
      <c r="C80" s="20">
        <f>-(Summary!$C$9/4)*J80</f>
        <v>-3029.3891248084824</v>
      </c>
      <c r="D80" s="20">
        <f t="shared" si="7"/>
        <v>35443.852760259244</v>
      </c>
      <c r="E80" s="20">
        <f>+Summary!$C$14*Model!B80/400</f>
        <v>649.0863112560265</v>
      </c>
      <c r="F80" s="20">
        <f>IF(MOD(A80,4)=0,-(SUM(C73:E76)-M80)*Summary!$C$15/100,0)</f>
        <v>0</v>
      </c>
      <c r="G80" s="21">
        <f t="shared" si="6"/>
        <v>119608.39144751032</v>
      </c>
      <c r="H80" s="11"/>
      <c r="I80" s="27">
        <f t="shared" si="8"/>
        <v>21937.5</v>
      </c>
      <c r="J80" s="28">
        <f>(1+(Summary!$C$12/400))*J79</f>
        <v>1.6156741998978572</v>
      </c>
      <c r="K80" s="21">
        <f t="shared" si="9"/>
        <v>35443.852760259244</v>
      </c>
      <c r="M80" s="20">
        <f>IF(MOD(A80,4)=0,+(M$3-SUM($M$4:M79))*0.25,0)</f>
        <v>0</v>
      </c>
    </row>
    <row r="81" spans="1:13" ht="12.75">
      <c r="A81" s="17">
        <v>79</v>
      </c>
      <c r="B81" s="20">
        <f t="shared" si="5"/>
        <v>119608.39144751032</v>
      </c>
      <c r="C81" s="20">
        <f>-(Summary!$C$9/4)*J81</f>
        <v>-3048.3228068385356</v>
      </c>
      <c r="D81" s="20">
        <f t="shared" si="7"/>
        <v>35665.37684001087</v>
      </c>
      <c r="E81" s="20">
        <f>+Summary!$C$14*Model!B81/400</f>
        <v>897.0629358563274</v>
      </c>
      <c r="F81" s="20">
        <f>IF(MOD(A81,4)=0,-(SUM(C74:E77)-M81)*Summary!$C$15/100,0)</f>
        <v>0</v>
      </c>
      <c r="G81" s="21">
        <f t="shared" si="6"/>
        <v>153122.50841653897</v>
      </c>
      <c r="H81" s="11"/>
      <c r="I81" s="27">
        <f t="shared" si="8"/>
        <v>21937.5</v>
      </c>
      <c r="J81" s="28">
        <f>(1+(Summary!$C$12/400))*J80</f>
        <v>1.6257721636472189</v>
      </c>
      <c r="K81" s="21">
        <f t="shared" si="9"/>
        <v>35665.37684001087</v>
      </c>
      <c r="M81" s="20">
        <f>IF(MOD(A81,4)=0,+(M$3-SUM($M$4:M80))*0.25,0)</f>
        <v>0</v>
      </c>
    </row>
    <row r="82" spans="1:13" ht="12.75">
      <c r="A82" s="17">
        <v>80</v>
      </c>
      <c r="B82" s="20">
        <f t="shared" si="5"/>
        <v>153122.50841653897</v>
      </c>
      <c r="C82" s="20">
        <f>-(Summary!$C$9/4)*J82</f>
        <v>-3067.3748243812765</v>
      </c>
      <c r="D82" s="20">
        <f t="shared" si="7"/>
        <v>35888.28544526093</v>
      </c>
      <c r="E82" s="20">
        <f>+Summary!$C$14*Model!B82/400</f>
        <v>1148.4188131240423</v>
      </c>
      <c r="F82" s="20">
        <f>IF(MOD(A82,4)=0,-(SUM(C75:E78)-M82)*Summary!$C$15/100,0)</f>
        <v>-37510.21283939538</v>
      </c>
      <c r="G82" s="21">
        <f t="shared" si="6"/>
        <v>149581.62501114726</v>
      </c>
      <c r="H82" s="11"/>
      <c r="I82" s="27">
        <f t="shared" si="8"/>
        <v>21937.5</v>
      </c>
      <c r="J82" s="28">
        <f>(1+(Summary!$C$12/400))*J81</f>
        <v>1.6359332396700141</v>
      </c>
      <c r="K82" s="21">
        <f t="shared" si="9"/>
        <v>35888.28544526093</v>
      </c>
      <c r="M82" s="20">
        <f>IF(MOD(A82,4)=0,+(M$3-SUM($M$4:M81))*0.25,0)</f>
        <v>2114.141292622662</v>
      </c>
    </row>
    <row r="83" spans="1:13" ht="12.75">
      <c r="A83" s="17">
        <v>81</v>
      </c>
      <c r="B83" s="20">
        <f t="shared" si="5"/>
        <v>149581.62501114726</v>
      </c>
      <c r="C83" s="20">
        <f>-(Summary!$C$9/4)*J83</f>
        <v>-3086.54591703366</v>
      </c>
      <c r="D83" s="20">
        <f t="shared" si="7"/>
        <v>36112.587229293815</v>
      </c>
      <c r="E83" s="20">
        <f>+Summary!$C$14*Model!B83/400</f>
        <v>1121.8621875836045</v>
      </c>
      <c r="F83" s="20">
        <f>IF(MOD(A83,4)=0,-(SUM(C76:E79)-M83)*Summary!$C$15/100,0)</f>
        <v>0</v>
      </c>
      <c r="G83" s="21">
        <f t="shared" si="6"/>
        <v>183729.52851099105</v>
      </c>
      <c r="H83" s="11"/>
      <c r="I83" s="27">
        <f t="shared" si="8"/>
        <v>21937.5</v>
      </c>
      <c r="J83" s="28">
        <f>(1+(Summary!$C$12/400))*J82</f>
        <v>1.6461578224179518</v>
      </c>
      <c r="K83" s="21">
        <f t="shared" si="9"/>
        <v>36112.587229293815</v>
      </c>
      <c r="M83" s="20">
        <f>IF(MOD(A83,4)=0,+(M$3-SUM($M$4:M82))*0.25,0)</f>
        <v>0</v>
      </c>
    </row>
    <row r="84" spans="1:13" ht="12.75">
      <c r="A84" s="17">
        <v>82</v>
      </c>
      <c r="B84" s="20">
        <f t="shared" si="5"/>
        <v>183729.52851099105</v>
      </c>
      <c r="C84" s="20">
        <f>-(Summary!$C$9/4)*J84</f>
        <v>-3105.83682901512</v>
      </c>
      <c r="D84" s="20">
        <f t="shared" si="7"/>
        <v>36338.29089947691</v>
      </c>
      <c r="E84" s="20">
        <f>+Summary!$C$14*Model!B84/400</f>
        <v>1377.9714638324328</v>
      </c>
      <c r="F84" s="20">
        <f>IF(MOD(A84,4)=0,-(SUM(C77:E80)-M84)*Summary!$C$15/100,0)</f>
        <v>0</v>
      </c>
      <c r="G84" s="21">
        <f t="shared" si="6"/>
        <v>218339.95404528527</v>
      </c>
      <c r="H84" s="11"/>
      <c r="I84" s="27">
        <f t="shared" si="8"/>
        <v>21937.5</v>
      </c>
      <c r="J84" s="28">
        <f>(1+(Summary!$C$12/400))*J83</f>
        <v>1.656446308808064</v>
      </c>
      <c r="K84" s="21">
        <f t="shared" si="9"/>
        <v>36338.29089947691</v>
      </c>
      <c r="M84" s="20">
        <f>IF(MOD(A84,4)=0,+(M$3-SUM($M$4:M83))*0.25,0)</f>
        <v>0</v>
      </c>
    </row>
    <row r="85" spans="1:13" ht="12.75">
      <c r="A85" s="17">
        <v>83</v>
      </c>
      <c r="B85" s="20">
        <f t="shared" si="5"/>
        <v>218339.95404528527</v>
      </c>
      <c r="C85" s="20">
        <f>-(Summary!$C$9/4)*J85</f>
        <v>-3125.248309196465</v>
      </c>
      <c r="D85" s="20">
        <f t="shared" si="7"/>
        <v>36565.40521759864</v>
      </c>
      <c r="E85" s="20">
        <f>+Summary!$C$14*Model!B85/400</f>
        <v>1637.5496553396397</v>
      </c>
      <c r="F85" s="20">
        <f>IF(MOD(A85,4)=0,-(SUM(C78:E81)-M85)*Summary!$C$15/100,0)</f>
        <v>0</v>
      </c>
      <c r="G85" s="21">
        <f t="shared" si="6"/>
        <v>253417.6606090271</v>
      </c>
      <c r="H85" s="11"/>
      <c r="I85" s="27">
        <f t="shared" si="8"/>
        <v>21937.5</v>
      </c>
      <c r="J85" s="28">
        <f>(1+(Summary!$C$12/400))*J84</f>
        <v>1.6667990982381147</v>
      </c>
      <c r="K85" s="21">
        <f t="shared" si="9"/>
        <v>36565.40521759864</v>
      </c>
      <c r="M85" s="20">
        <f>IF(MOD(A85,4)=0,+(M$3-SUM($M$4:M84))*0.25,0)</f>
        <v>0</v>
      </c>
    </row>
    <row r="86" spans="1:13" ht="12.75">
      <c r="A86" s="17">
        <v>84</v>
      </c>
      <c r="B86" s="20">
        <f t="shared" si="5"/>
        <v>253417.6606090271</v>
      </c>
      <c r="C86" s="20">
        <f>-(Summary!$C$9/4)*J86</f>
        <v>-3144.781111128943</v>
      </c>
      <c r="D86" s="20">
        <f t="shared" si="7"/>
        <v>36793.93900020864</v>
      </c>
      <c r="E86" s="20">
        <f>+Summary!$C$14*Model!B86/400</f>
        <v>1900.6324545677032</v>
      </c>
      <c r="F86" s="20">
        <f>IF(MOD(A86,4)=0,-(SUM(C79:E82)-M86)*Summary!$C$15/100,0)</f>
        <v>-39473.69290795865</v>
      </c>
      <c r="G86" s="21">
        <f t="shared" si="6"/>
        <v>249493.75804471585</v>
      </c>
      <c r="H86" s="11"/>
      <c r="I86" s="27">
        <f t="shared" si="8"/>
        <v>21937.5</v>
      </c>
      <c r="J86" s="28">
        <f>(1+(Summary!$C$12/400))*J85</f>
        <v>1.677216592602103</v>
      </c>
      <c r="K86" s="21">
        <f t="shared" si="9"/>
        <v>36793.93900020864</v>
      </c>
      <c r="M86" s="20">
        <f>IF(MOD(A86,4)=0,+(M$3-SUM($M$4:M85))*0.25,0)</f>
        <v>1585.6059694669675</v>
      </c>
    </row>
    <row r="87" spans="1:13" ht="12.75">
      <c r="A87" s="17">
        <v>85</v>
      </c>
      <c r="B87" s="20">
        <f t="shared" si="5"/>
        <v>249493.75804471585</v>
      </c>
      <c r="C87" s="20">
        <f>-(Summary!$C$9/4)*J87</f>
        <v>-3164.4359930734995</v>
      </c>
      <c r="D87" s="20">
        <f t="shared" si="7"/>
        <v>37023.90111895994</v>
      </c>
      <c r="E87" s="20">
        <f>+Summary!$C$14*Model!B87/400</f>
        <v>1871.203185335369</v>
      </c>
      <c r="F87" s="20">
        <f>IF(MOD(A87,4)=0,-(SUM(C80:E83)-M87)*Summary!$C$15/100,0)</f>
        <v>0</v>
      </c>
      <c r="G87" s="21">
        <f t="shared" si="6"/>
        <v>285224.42635593767</v>
      </c>
      <c r="H87" s="11"/>
      <c r="I87" s="27">
        <f t="shared" si="8"/>
        <v>21937.5</v>
      </c>
      <c r="J87" s="28">
        <f>(1+(Summary!$C$12/400))*J86</f>
        <v>1.6876991963058663</v>
      </c>
      <c r="K87" s="21">
        <f t="shared" si="9"/>
        <v>37023.90111895994</v>
      </c>
      <c r="M87" s="20">
        <f>IF(MOD(A87,4)=0,+(M$3-SUM($M$4:M86))*0.25,0)</f>
        <v>0</v>
      </c>
    </row>
    <row r="88" spans="1:13" ht="12.75">
      <c r="A88" s="17">
        <v>86</v>
      </c>
      <c r="B88" s="20">
        <f t="shared" si="5"/>
        <v>285224.42635593767</v>
      </c>
      <c r="C88" s="20">
        <f>-(Summary!$C$9/4)*J88</f>
        <v>-3184.213718030209</v>
      </c>
      <c r="D88" s="20">
        <f t="shared" si="7"/>
        <v>37255.300500953446</v>
      </c>
      <c r="E88" s="20">
        <f>+Summary!$C$14*Model!B88/400</f>
        <v>2139.1831976695325</v>
      </c>
      <c r="F88" s="20">
        <f>IF(MOD(A88,4)=0,-(SUM(C81:E84)-M88)*Summary!$C$15/100,0)</f>
        <v>0</v>
      </c>
      <c r="G88" s="21">
        <f t="shared" si="6"/>
        <v>321434.69633653044</v>
      </c>
      <c r="H88" s="11"/>
      <c r="I88" s="27">
        <f t="shared" si="8"/>
        <v>21937.5</v>
      </c>
      <c r="J88" s="28">
        <f>(1+(Summary!$C$12/400))*J87</f>
        <v>1.698247316282778</v>
      </c>
      <c r="K88" s="21">
        <f t="shared" si="9"/>
        <v>37255.300500953446</v>
      </c>
      <c r="M88" s="20">
        <f>IF(MOD(A88,4)=0,+(M$3-SUM($M$4:M87))*0.25,0)</f>
        <v>0</v>
      </c>
    </row>
    <row r="89" spans="1:13" ht="12.75">
      <c r="A89" s="17">
        <v>87</v>
      </c>
      <c r="B89" s="20">
        <f t="shared" si="5"/>
        <v>321434.69633653044</v>
      </c>
      <c r="C89" s="20">
        <f>-(Summary!$C$9/4)*J89</f>
        <v>-3204.115053767898</v>
      </c>
      <c r="D89" s="20">
        <f t="shared" si="7"/>
        <v>37488.14612908441</v>
      </c>
      <c r="E89" s="20">
        <f>+Summary!$C$14*Model!B89/400</f>
        <v>2410.7602225239784</v>
      </c>
      <c r="F89" s="20">
        <f>IF(MOD(A89,4)=0,-(SUM(C82:E85)-M89)*Summary!$C$15/100,0)</f>
        <v>0</v>
      </c>
      <c r="G89" s="21">
        <f t="shared" si="6"/>
        <v>358129.4876343709</v>
      </c>
      <c r="H89" s="11"/>
      <c r="I89" s="27">
        <f t="shared" si="8"/>
        <v>21937.5</v>
      </c>
      <c r="J89" s="28">
        <f>(1+(Summary!$C$12/400))*J88</f>
        <v>1.7088613620095456</v>
      </c>
      <c r="K89" s="21">
        <f t="shared" si="9"/>
        <v>37488.14612908441</v>
      </c>
      <c r="M89" s="20">
        <f>IF(MOD(A89,4)=0,+(M$3-SUM($M$4:M88))*0.25,0)</f>
        <v>0</v>
      </c>
    </row>
    <row r="90" spans="1:13" ht="12.75">
      <c r="A90" s="17">
        <v>88</v>
      </c>
      <c r="B90" s="20">
        <f t="shared" si="5"/>
        <v>358129.4876343709</v>
      </c>
      <c r="C90" s="20">
        <f>-(Summary!$C$9/4)*J90</f>
        <v>-3224.1407728539475</v>
      </c>
      <c r="D90" s="20">
        <f t="shared" si="7"/>
        <v>37722.447042391184</v>
      </c>
      <c r="E90" s="20">
        <f>+Summary!$C$14*Model!B90/400</f>
        <v>2685.9711572577817</v>
      </c>
      <c r="F90" s="20">
        <f>IF(MOD(A90,4)=0,-(SUM(C83:E86)-M90)*Summary!$C$15/100,0)</f>
        <v>-41458.98643932809</v>
      </c>
      <c r="G90" s="21">
        <f t="shared" si="6"/>
        <v>353854.77862183785</v>
      </c>
      <c r="H90" s="11"/>
      <c r="I90" s="27">
        <f t="shared" si="8"/>
        <v>21937.5</v>
      </c>
      <c r="J90" s="28">
        <f>(1+(Summary!$C$12/400))*J89</f>
        <v>1.7195417455221054</v>
      </c>
      <c r="K90" s="21">
        <f t="shared" si="9"/>
        <v>37722.447042391184</v>
      </c>
      <c r="M90" s="20">
        <f>IF(MOD(A90,4)=0,+(M$3-SUM($M$4:M89))*0.25,0)</f>
        <v>1189.2044771002256</v>
      </c>
    </row>
    <row r="91" spans="1:13" ht="12.75">
      <c r="A91" s="17">
        <v>89</v>
      </c>
      <c r="B91" s="20">
        <f t="shared" si="5"/>
        <v>353854.77862183785</v>
      </c>
      <c r="C91" s="20">
        <f>-(Summary!$C$9/4)*J91</f>
        <v>-3244.291652684285</v>
      </c>
      <c r="D91" s="20">
        <f t="shared" si="7"/>
        <v>37958.21233640613</v>
      </c>
      <c r="E91" s="20">
        <f>+Summary!$C$14*Model!B91/400</f>
        <v>2653.9108396637835</v>
      </c>
      <c r="F91" s="20">
        <f>IF(MOD(A91,4)=0,-(SUM(C84:E87)-M91)*Summary!$C$15/100,0)</f>
        <v>0</v>
      </c>
      <c r="G91" s="21">
        <f t="shared" si="6"/>
        <v>391222.61014522344</v>
      </c>
      <c r="H91" s="11"/>
      <c r="I91" s="27">
        <f t="shared" si="8"/>
        <v>21937.5</v>
      </c>
      <c r="J91" s="28">
        <f>(1+(Summary!$C$12/400))*J90</f>
        <v>1.7302888814316186</v>
      </c>
      <c r="K91" s="21">
        <f t="shared" si="9"/>
        <v>37958.21233640613</v>
      </c>
      <c r="M91" s="20">
        <f>IF(MOD(A91,4)=0,+(M$3-SUM($M$4:M90))*0.25,0)</f>
        <v>0</v>
      </c>
    </row>
    <row r="92" spans="1:13" ht="12.75">
      <c r="A92" s="17">
        <v>90</v>
      </c>
      <c r="B92" s="20">
        <f t="shared" si="5"/>
        <v>391222.61014522344</v>
      </c>
      <c r="C92" s="20">
        <f>-(Summary!$C$9/4)*J92</f>
        <v>-3264.568475513562</v>
      </c>
      <c r="D92" s="20">
        <f t="shared" si="7"/>
        <v>38195.451163508675</v>
      </c>
      <c r="E92" s="20">
        <f>+Summary!$C$14*Model!B92/400</f>
        <v>2934.169576089176</v>
      </c>
      <c r="F92" s="20">
        <f>IF(MOD(A92,4)=0,-(SUM(C85:E88)-M92)*Summary!$C$15/100,0)</f>
        <v>0</v>
      </c>
      <c r="G92" s="21">
        <f t="shared" si="6"/>
        <v>429087.6624093078</v>
      </c>
      <c r="H92" s="11"/>
      <c r="I92" s="27">
        <f t="shared" si="8"/>
        <v>21937.5</v>
      </c>
      <c r="J92" s="28">
        <f>(1+(Summary!$C$12/400))*J91</f>
        <v>1.7411031869405664</v>
      </c>
      <c r="K92" s="21">
        <f t="shared" si="9"/>
        <v>38195.451163508675</v>
      </c>
      <c r="M92" s="20">
        <f>IF(MOD(A92,4)=0,+(M$3-SUM($M$4:M91))*0.25,0)</f>
        <v>0</v>
      </c>
    </row>
    <row r="93" spans="1:13" ht="12.75">
      <c r="A93" s="17">
        <v>91</v>
      </c>
      <c r="B93" s="20">
        <f t="shared" si="5"/>
        <v>429087.6624093078</v>
      </c>
      <c r="C93" s="20">
        <f>-(Summary!$C$9/4)*J93</f>
        <v>-3284.972028485522</v>
      </c>
      <c r="D93" s="20">
        <f t="shared" si="7"/>
        <v>38434.17273328061</v>
      </c>
      <c r="E93" s="20">
        <f>+Summary!$C$14*Model!B93/400</f>
        <v>3218.157468069808</v>
      </c>
      <c r="F93" s="20">
        <f>IF(MOD(A93,4)=0,-(SUM(C86:E89)-M93)*Summary!$C$15/100,0)</f>
        <v>0</v>
      </c>
      <c r="G93" s="21">
        <f t="shared" si="6"/>
        <v>467455.0205821727</v>
      </c>
      <c r="H93" s="11"/>
      <c r="I93" s="27">
        <f t="shared" si="8"/>
        <v>21937.5</v>
      </c>
      <c r="J93" s="28">
        <f>(1+(Summary!$C$12/400))*J92</f>
        <v>1.751985081858945</v>
      </c>
      <c r="K93" s="21">
        <f t="shared" si="9"/>
        <v>38434.17273328061</v>
      </c>
      <c r="M93" s="20">
        <f>IF(MOD(A93,4)=0,+(M$3-SUM($M$4:M92))*0.25,0)</f>
        <v>0</v>
      </c>
    </row>
    <row r="94" spans="1:13" ht="12.75">
      <c r="A94" s="17">
        <v>92</v>
      </c>
      <c r="B94" s="20">
        <f t="shared" si="5"/>
        <v>467455.0205821727</v>
      </c>
      <c r="C94" s="20">
        <f>-(Summary!$C$9/4)*J94</f>
        <v>-3305.503103663557</v>
      </c>
      <c r="D94" s="20">
        <f t="shared" si="7"/>
        <v>38674.386312863615</v>
      </c>
      <c r="E94" s="20">
        <f>+Summary!$C$14*Model!B94/400</f>
        <v>3505.912654366295</v>
      </c>
      <c r="F94" s="20">
        <f>IF(MOD(A94,4)=0,-(SUM(C87:E90)-M94)*Summary!$C$15/100,0)</f>
        <v>-43478.431097587476</v>
      </c>
      <c r="G94" s="21">
        <f t="shared" si="6"/>
        <v>462851.3853481516</v>
      </c>
      <c r="H94" s="11"/>
      <c r="I94" s="27">
        <f t="shared" si="8"/>
        <v>21937.5</v>
      </c>
      <c r="J94" s="28">
        <f>(1+(Summary!$C$12/400))*J93</f>
        <v>1.7629349886205636</v>
      </c>
      <c r="K94" s="21">
        <f t="shared" si="9"/>
        <v>38674.386312863615</v>
      </c>
      <c r="M94" s="20">
        <f>IF(MOD(A94,4)=0,+(M$3-SUM($M$4:M93))*0.25,0)</f>
        <v>891.9033578251838</v>
      </c>
    </row>
    <row r="95" spans="1:13" ht="12.75">
      <c r="A95" s="17">
        <v>93</v>
      </c>
      <c r="B95" s="20">
        <f t="shared" si="5"/>
        <v>462851.3853481516</v>
      </c>
      <c r="C95" s="20">
        <f>-(Summary!$C$9/4)*J95</f>
        <v>-3326.1624980614542</v>
      </c>
      <c r="D95" s="20">
        <f t="shared" si="7"/>
        <v>38916.10122731901</v>
      </c>
      <c r="E95" s="20">
        <f>+Summary!$C$14*Model!B95/400</f>
        <v>3471.385390111137</v>
      </c>
      <c r="F95" s="20">
        <f>IF(MOD(A95,4)=0,-(SUM(C88:E91)-M95)*Summary!$C$15/100,0)</f>
        <v>0</v>
      </c>
      <c r="G95" s="21">
        <f t="shared" si="6"/>
        <v>501912.70946752036</v>
      </c>
      <c r="H95" s="11"/>
      <c r="I95" s="27">
        <f t="shared" si="8"/>
        <v>21937.5</v>
      </c>
      <c r="J95" s="28">
        <f>(1+(Summary!$C$12/400))*J94</f>
        <v>1.7739533322994423</v>
      </c>
      <c r="K95" s="21">
        <f t="shared" si="9"/>
        <v>38916.10122731901</v>
      </c>
      <c r="M95" s="20">
        <f>IF(MOD(A95,4)=0,+(M$3-SUM($M$4:M94))*0.25,0)</f>
        <v>0</v>
      </c>
    </row>
    <row r="96" spans="1:13" ht="12.75">
      <c r="A96" s="17">
        <v>94</v>
      </c>
      <c r="B96" s="20">
        <f t="shared" si="5"/>
        <v>501912.70946752036</v>
      </c>
      <c r="C96" s="20">
        <f>-(Summary!$C$9/4)*J96</f>
        <v>-3346.9510136743384</v>
      </c>
      <c r="D96" s="20">
        <f t="shared" si="7"/>
        <v>39159.326859989764</v>
      </c>
      <c r="E96" s="20">
        <f>+Summary!$C$14*Model!B96/400</f>
        <v>3764.345321006402</v>
      </c>
      <c r="F96" s="20">
        <f>IF(MOD(A96,4)=0,-(SUM(C89:E92)-M96)*Summary!$C$15/100,0)</f>
        <v>0</v>
      </c>
      <c r="G96" s="21">
        <f t="shared" si="6"/>
        <v>541489.4306348421</v>
      </c>
      <c r="H96" s="11"/>
      <c r="I96" s="27">
        <f t="shared" si="8"/>
        <v>21937.5</v>
      </c>
      <c r="J96" s="28">
        <f>(1+(Summary!$C$12/400))*J95</f>
        <v>1.785040540626314</v>
      </c>
      <c r="K96" s="21">
        <f t="shared" si="9"/>
        <v>39159.326859989764</v>
      </c>
      <c r="M96" s="20">
        <f>IF(MOD(A96,4)=0,+(M$3-SUM($M$4:M95))*0.25,0)</f>
        <v>0</v>
      </c>
    </row>
    <row r="97" spans="1:13" ht="12.75">
      <c r="A97" s="17">
        <v>95</v>
      </c>
      <c r="B97" s="20">
        <f t="shared" si="5"/>
        <v>541489.4306348421</v>
      </c>
      <c r="C97" s="20">
        <f>-(Summary!$C$9/4)*J97</f>
        <v>-3367.869457509804</v>
      </c>
      <c r="D97" s="20">
        <f t="shared" si="7"/>
        <v>39404.0726528647</v>
      </c>
      <c r="E97" s="20">
        <f>+Summary!$C$14*Model!B97/400</f>
        <v>4061.1707297613157</v>
      </c>
      <c r="F97" s="20">
        <f>IF(MOD(A97,4)=0,-(SUM(C90:E93)-M97)*Summary!$C$15/100,0)</f>
        <v>0</v>
      </c>
      <c r="G97" s="21">
        <f t="shared" si="6"/>
        <v>581586.8045599584</v>
      </c>
      <c r="H97" s="11"/>
      <c r="I97" s="27">
        <f t="shared" si="8"/>
        <v>21937.5</v>
      </c>
      <c r="J97" s="28">
        <f>(1+(Summary!$C$12/400))*J96</f>
        <v>1.7961970440052286</v>
      </c>
      <c r="K97" s="21">
        <f t="shared" si="9"/>
        <v>39404.0726528647</v>
      </c>
      <c r="M97" s="20">
        <f>IF(MOD(A97,4)=0,+(M$3-SUM($M$4:M96))*0.25,0)</f>
        <v>0</v>
      </c>
    </row>
    <row r="98" spans="1:13" ht="12.75">
      <c r="A98" s="17">
        <v>96</v>
      </c>
      <c r="B98" s="20">
        <f t="shared" si="5"/>
        <v>581586.8045599584</v>
      </c>
      <c r="C98" s="20">
        <f>-(Summary!$C$9/4)*J98</f>
        <v>-3388.91864161924</v>
      </c>
      <c r="D98" s="20">
        <f t="shared" si="7"/>
        <v>39650.34810694511</v>
      </c>
      <c r="E98" s="20">
        <f>+Summary!$C$14*Model!B98/400</f>
        <v>4361.901034199688</v>
      </c>
      <c r="F98" s="20">
        <f>IF(MOD(A98,4)=0,-(SUM(C91:E94)-M98)*Summary!$C$15/100,0)</f>
        <v>-45541.83309165968</v>
      </c>
      <c r="G98" s="21">
        <f t="shared" si="6"/>
        <v>576668.3019678241</v>
      </c>
      <c r="H98" s="11"/>
      <c r="I98" s="27">
        <f t="shared" si="8"/>
        <v>21937.5</v>
      </c>
      <c r="J98" s="28">
        <f>(1+(Summary!$C$12/400))*J97</f>
        <v>1.8074232755302615</v>
      </c>
      <c r="K98" s="21">
        <f t="shared" si="9"/>
        <v>39650.34810694511</v>
      </c>
      <c r="M98" s="20">
        <f>IF(MOD(A98,4)=0,+(M$3-SUM($M$4:M97))*0.25,0)</f>
        <v>668.9275183688733</v>
      </c>
    </row>
    <row r="99" spans="1:13" ht="12.75">
      <c r="A99" s="17">
        <v>97</v>
      </c>
      <c r="B99" s="20">
        <f t="shared" si="5"/>
        <v>576668.3019678241</v>
      </c>
      <c r="C99" s="20">
        <f>-(Summary!$C$9/4)*J99</f>
        <v>-3410.0993831293613</v>
      </c>
      <c r="D99" s="20">
        <f t="shared" si="7"/>
        <v>39898.16278261352</v>
      </c>
      <c r="E99" s="20">
        <f>+Summary!$C$14*Model!B99/400</f>
        <v>4325.01226475868</v>
      </c>
      <c r="F99" s="20">
        <f>IF(MOD(A99,4)=0,-(SUM(C92:E95)-M99)*Summary!$C$15/100,0)</f>
        <v>0</v>
      </c>
      <c r="G99" s="21">
        <f t="shared" si="6"/>
        <v>617481.377632067</v>
      </c>
      <c r="H99" s="11"/>
      <c r="I99" s="27">
        <f t="shared" si="8"/>
        <v>21937.5</v>
      </c>
      <c r="J99" s="28">
        <f>(1+(Summary!$C$12/400))*J98</f>
        <v>1.818719671002326</v>
      </c>
      <c r="K99" s="21">
        <f t="shared" si="9"/>
        <v>39898.16278261352</v>
      </c>
      <c r="M99" s="20">
        <f>IF(MOD(A99,4)=0,+(M$3-SUM($M$4:M98))*0.25,0)</f>
        <v>0</v>
      </c>
    </row>
    <row r="100" spans="1:13" ht="12.75">
      <c r="A100" s="17">
        <v>98</v>
      </c>
      <c r="B100" s="20">
        <f t="shared" si="5"/>
        <v>617481.377632067</v>
      </c>
      <c r="C100" s="20">
        <f>-(Summary!$C$9/4)*J100</f>
        <v>-3431.4125042739197</v>
      </c>
      <c r="D100" s="20">
        <f t="shared" si="7"/>
        <v>40147.526300004865</v>
      </c>
      <c r="E100" s="20">
        <f>+Summary!$C$14*Model!B100/400</f>
        <v>4631.1103322405015</v>
      </c>
      <c r="F100" s="20">
        <f>IF(MOD(A100,4)=0,-(SUM(C93:E96)-M100)*Summary!$C$15/100,0)</f>
        <v>0</v>
      </c>
      <c r="G100" s="21">
        <f t="shared" si="6"/>
        <v>658828.6017600384</v>
      </c>
      <c r="H100" s="11"/>
      <c r="I100" s="27">
        <f t="shared" si="8"/>
        <v>21937.5</v>
      </c>
      <c r="J100" s="28">
        <f>(1+(Summary!$C$12/400))*J99</f>
        <v>1.8300866689460906</v>
      </c>
      <c r="K100" s="21">
        <f t="shared" si="9"/>
        <v>40147.526300004865</v>
      </c>
      <c r="M100" s="20">
        <f>IF(MOD(A100,4)=0,+(M$3-SUM($M$4:M99))*0.25,0)</f>
        <v>0</v>
      </c>
    </row>
    <row r="101" spans="1:13" ht="12.75">
      <c r="A101" s="17">
        <v>99</v>
      </c>
      <c r="B101" s="20">
        <f t="shared" si="5"/>
        <v>658828.6017600384</v>
      </c>
      <c r="C101" s="20">
        <f>-(Summary!$C$9/4)*J101</f>
        <v>-3452.858832425632</v>
      </c>
      <c r="D101" s="20">
        <f t="shared" si="7"/>
        <v>40398.448339379895</v>
      </c>
      <c r="E101" s="20">
        <f>+Summary!$C$14*Model!B101/400</f>
        <v>4941.214513200288</v>
      </c>
      <c r="F101" s="20">
        <f>IF(MOD(A101,4)=0,-(SUM(C94:E97)-M101)*Summary!$C$15/100,0)</f>
        <v>0</v>
      </c>
      <c r="G101" s="21">
        <f t="shared" si="6"/>
        <v>700715.4057801929</v>
      </c>
      <c r="H101" s="11"/>
      <c r="I101" s="27">
        <f t="shared" si="8"/>
        <v>21937.5</v>
      </c>
      <c r="J101" s="28">
        <f>(1+(Summary!$C$12/400))*J100</f>
        <v>1.8415247106270038</v>
      </c>
      <c r="K101" s="21">
        <f t="shared" si="9"/>
        <v>40398.448339379895</v>
      </c>
      <c r="M101" s="20">
        <f>IF(MOD(A101,4)=0,+(M$3-SUM($M$4:M100))*0.25,0)</f>
        <v>0</v>
      </c>
    </row>
    <row r="102" spans="1:13" ht="12.75">
      <c r="A102" s="17">
        <v>100</v>
      </c>
      <c r="B102" s="20">
        <f t="shared" si="5"/>
        <v>700715.4057801929</v>
      </c>
      <c r="C102" s="20">
        <f>-(Summary!$C$9/4)*J102</f>
        <v>-3474.4392001282927</v>
      </c>
      <c r="D102" s="20">
        <f t="shared" si="7"/>
        <v>40650.93864150102</v>
      </c>
      <c r="E102" s="20">
        <f>+Summary!$C$14*Model!B102/400</f>
        <v>5255.365543351447</v>
      </c>
      <c r="F102" s="20">
        <f>IF(MOD(A102,4)=0,-(SUM(C95:E98)-M102)*Summary!$C$15/100,0)</f>
        <v>-47657.11622176671</v>
      </c>
      <c r="G102" s="21">
        <f t="shared" si="6"/>
        <v>695490.1545431503</v>
      </c>
      <c r="H102" s="11"/>
      <c r="I102" s="27">
        <f t="shared" si="8"/>
        <v>21937.5</v>
      </c>
      <c r="J102" s="28">
        <f>(1+(Summary!$C$12/400))*J101</f>
        <v>1.8530342400684228</v>
      </c>
      <c r="K102" s="21">
        <f t="shared" si="9"/>
        <v>40650.93864150102</v>
      </c>
      <c r="M102" s="20">
        <f>IF(MOD(A102,4)=0,+(M$3-SUM($M$4:M101))*0.25,0)</f>
        <v>501.6956387766404</v>
      </c>
    </row>
    <row r="103" spans="1:13" ht="12.75">
      <c r="A103" s="17">
        <v>101</v>
      </c>
      <c r="B103" s="20">
        <f t="shared" si="5"/>
        <v>695490.1545431503</v>
      </c>
      <c r="C103" s="20">
        <f>-(Summary!$C$9/4)*J103</f>
        <v>-3496.1544451290947</v>
      </c>
      <c r="D103" s="20">
        <f t="shared" si="7"/>
        <v>40905.007008010405</v>
      </c>
      <c r="E103" s="20">
        <f>+Summary!$C$14*Model!B103/400</f>
        <v>5216.176159073628</v>
      </c>
      <c r="F103" s="20">
        <f>IF(MOD(A103,4)=0,-(SUM(C96:E99)-M103)*Summary!$C$15/100,0)</f>
        <v>0</v>
      </c>
      <c r="G103" s="21">
        <f t="shared" si="6"/>
        <v>738115.1832651052</v>
      </c>
      <c r="H103" s="11"/>
      <c r="I103" s="27">
        <f t="shared" si="8"/>
        <v>21937.5</v>
      </c>
      <c r="J103" s="28">
        <f>(1+(Summary!$C$12/400))*J102</f>
        <v>1.8646157040688505</v>
      </c>
      <c r="K103" s="21">
        <f t="shared" si="9"/>
        <v>40905.007008010405</v>
      </c>
      <c r="M103" s="20">
        <f>IF(MOD(A103,4)=0,+(M$3-SUM($M$4:M102))*0.25,0)</f>
        <v>0</v>
      </c>
    </row>
    <row r="104" spans="1:13" ht="12.75">
      <c r="A104" s="17">
        <v>102</v>
      </c>
      <c r="B104" s="20">
        <f t="shared" si="5"/>
        <v>738115.1832651052</v>
      </c>
      <c r="C104" s="20">
        <f>-(Summary!$C$9/4)*J104</f>
        <v>-3518.005410411152</v>
      </c>
      <c r="D104" s="20">
        <f t="shared" si="7"/>
        <v>41160.66330181048</v>
      </c>
      <c r="E104" s="20">
        <f>+Summary!$C$14*Model!B104/400</f>
        <v>5535.863874488289</v>
      </c>
      <c r="F104" s="20">
        <f>IF(MOD(A104,4)=0,-(SUM(C97:E100)-M104)*Summary!$C$15/100,0)</f>
        <v>0</v>
      </c>
      <c r="G104" s="21">
        <f t="shared" si="6"/>
        <v>781293.7050309929</v>
      </c>
      <c r="H104" s="11"/>
      <c r="I104" s="27">
        <f t="shared" si="8"/>
        <v>21937.5</v>
      </c>
      <c r="J104" s="28">
        <f>(1+(Summary!$C$12/400))*J103</f>
        <v>1.876269552219281</v>
      </c>
      <c r="K104" s="21">
        <f t="shared" si="9"/>
        <v>41160.66330181048</v>
      </c>
      <c r="M104" s="20">
        <f>IF(MOD(A104,4)=0,+(M$3-SUM($M$4:M103))*0.25,0)</f>
        <v>0</v>
      </c>
    </row>
    <row r="105" spans="1:13" ht="12.75">
      <c r="A105" s="17">
        <v>103</v>
      </c>
      <c r="B105" s="20">
        <f t="shared" si="5"/>
        <v>781293.7050309929</v>
      </c>
      <c r="C105" s="20">
        <f>-(Summary!$C$9/4)*J105</f>
        <v>-3539.992944226222</v>
      </c>
      <c r="D105" s="20">
        <f t="shared" si="7"/>
        <v>41417.917447446795</v>
      </c>
      <c r="E105" s="20">
        <f>+Summary!$C$14*Model!B105/400</f>
        <v>5859.702787732447</v>
      </c>
      <c r="F105" s="20">
        <f>IF(MOD(A105,4)=0,-(SUM(C98:E101)-M105)*Summary!$C$15/100,0)</f>
        <v>0</v>
      </c>
      <c r="G105" s="21">
        <f t="shared" si="6"/>
        <v>825031.3323219459</v>
      </c>
      <c r="H105" s="11"/>
      <c r="I105" s="27">
        <f t="shared" si="8"/>
        <v>21937.5</v>
      </c>
      <c r="J105" s="28">
        <f>(1+(Summary!$C$12/400))*J104</f>
        <v>1.8879962369206515</v>
      </c>
      <c r="K105" s="21">
        <f t="shared" si="9"/>
        <v>41417.917447446795</v>
      </c>
      <c r="M105" s="20">
        <f>IF(MOD(A105,4)=0,+(M$3-SUM($M$4:M104))*0.25,0)</f>
        <v>0</v>
      </c>
    </row>
    <row r="106" spans="1:13" ht="12.75">
      <c r="A106" s="17">
        <v>104</v>
      </c>
      <c r="B106" s="20">
        <f t="shared" si="5"/>
        <v>825031.3323219459</v>
      </c>
      <c r="C106" s="20">
        <f>-(Summary!$C$9/4)*J106</f>
        <v>-3562.1179001276355</v>
      </c>
      <c r="D106" s="20">
        <f t="shared" si="7"/>
        <v>41676.779431493334</v>
      </c>
      <c r="E106" s="20">
        <f>+Summary!$C$14*Model!B106/400</f>
        <v>6187.734992414594</v>
      </c>
      <c r="F106" s="20">
        <f>IF(MOD(A106,4)=0,-(SUM(C99:E102)-M106)*Summary!$C$15/100,0)</f>
        <v>-49830.80912040317</v>
      </c>
      <c r="G106" s="21">
        <f t="shared" si="6"/>
        <v>819502.9197253231</v>
      </c>
      <c r="H106" s="11"/>
      <c r="I106" s="27">
        <f t="shared" si="8"/>
        <v>21937.5</v>
      </c>
      <c r="J106" s="28">
        <f>(1+(Summary!$C$12/400))*J105</f>
        <v>1.8997962134014057</v>
      </c>
      <c r="K106" s="21">
        <f t="shared" si="9"/>
        <v>41676.779431493334</v>
      </c>
      <c r="M106" s="20">
        <f>IF(MOD(A106,4)=0,+(M$3-SUM($M$4:M105))*0.25,0)</f>
        <v>376.2717290824512</v>
      </c>
    </row>
    <row r="107" spans="1:13" ht="12.75">
      <c r="A107" s="17">
        <v>105</v>
      </c>
      <c r="B107" s="20">
        <f t="shared" si="5"/>
        <v>819502.9197253231</v>
      </c>
      <c r="C107" s="20">
        <f>-(Summary!$C$9/4)*J107</f>
        <v>-3584.3811370034337</v>
      </c>
      <c r="D107" s="20">
        <f t="shared" si="7"/>
        <v>41937.259302940176</v>
      </c>
      <c r="E107" s="20">
        <f>+Summary!$C$14*Model!B107/400</f>
        <v>6146.271897939923</v>
      </c>
      <c r="F107" s="20">
        <f>IF(MOD(A107,4)=0,-(SUM(C100:E103)-M107)*Summary!$C$15/100,0)</f>
        <v>0</v>
      </c>
      <c r="G107" s="21">
        <f t="shared" si="6"/>
        <v>864002.0697891999</v>
      </c>
      <c r="H107" s="11"/>
      <c r="I107" s="27">
        <f t="shared" si="8"/>
        <v>21937.5</v>
      </c>
      <c r="J107" s="28">
        <f>(1+(Summary!$C$12/400))*J106</f>
        <v>1.9116699397351646</v>
      </c>
      <c r="K107" s="21">
        <f t="shared" si="9"/>
        <v>41937.259302940176</v>
      </c>
      <c r="M107" s="20">
        <f>IF(MOD(A107,4)=0,+(M$3-SUM($M$4:M106))*0.25,0)</f>
        <v>0</v>
      </c>
    </row>
    <row r="108" spans="1:13" ht="12.75">
      <c r="A108" s="17">
        <v>106</v>
      </c>
      <c r="B108" s="20">
        <f t="shared" si="5"/>
        <v>864002.0697891999</v>
      </c>
      <c r="C108" s="20">
        <f>-(Summary!$C$9/4)*J108</f>
        <v>-3606.783519109705</v>
      </c>
      <c r="D108" s="20">
        <f t="shared" si="7"/>
        <v>42199.36717358355</v>
      </c>
      <c r="E108" s="20">
        <f>+Summary!$C$14*Model!B108/400</f>
        <v>6480.015523418999</v>
      </c>
      <c r="F108" s="20">
        <f>IF(MOD(A108,4)=0,-(SUM(C101:E104)-M108)*Summary!$C$15/100,0)</f>
        <v>0</v>
      </c>
      <c r="G108" s="21">
        <f t="shared" si="6"/>
        <v>909074.6689670928</v>
      </c>
      <c r="H108" s="11"/>
      <c r="I108" s="27">
        <f t="shared" si="8"/>
        <v>21937.5</v>
      </c>
      <c r="J108" s="28">
        <f>(1+(Summary!$C$12/400))*J107</f>
        <v>1.9236178768585095</v>
      </c>
      <c r="K108" s="21">
        <f t="shared" si="9"/>
        <v>42199.36717358355</v>
      </c>
      <c r="M108" s="20">
        <f>IF(MOD(A108,4)=0,+(M$3-SUM($M$4:M107))*0.25,0)</f>
        <v>0</v>
      </c>
    </row>
    <row r="109" spans="1:13" ht="12.75">
      <c r="A109" s="17">
        <v>107</v>
      </c>
      <c r="B109" s="20">
        <f t="shared" si="5"/>
        <v>909074.6689670928</v>
      </c>
      <c r="C109" s="20">
        <f>-(Summary!$C$9/4)*J109</f>
        <v>-3629.3259161041415</v>
      </c>
      <c r="D109" s="20">
        <f t="shared" si="7"/>
        <v>42463.11321841845</v>
      </c>
      <c r="E109" s="20">
        <f>+Summary!$C$14*Model!B109/400</f>
        <v>6818.060017253196</v>
      </c>
      <c r="F109" s="20">
        <f>IF(MOD(A109,4)=0,-(SUM(C102:E105)-M109)*Summary!$C$15/100,0)</f>
        <v>0</v>
      </c>
      <c r="G109" s="21">
        <f t="shared" si="6"/>
        <v>954726.5162866602</v>
      </c>
      <c r="H109" s="11"/>
      <c r="I109" s="27">
        <f t="shared" si="8"/>
        <v>21937.5</v>
      </c>
      <c r="J109" s="28">
        <f>(1+(Summary!$C$12/400))*J108</f>
        <v>1.9356404885888754</v>
      </c>
      <c r="K109" s="21">
        <f t="shared" si="9"/>
        <v>42463.11321841845</v>
      </c>
      <c r="M109" s="20">
        <f>IF(MOD(A109,4)=0,+(M$3-SUM($M$4:M108))*0.25,0)</f>
        <v>0</v>
      </c>
    </row>
    <row r="110" spans="1:13" ht="12.75">
      <c r="A110" s="17">
        <v>108</v>
      </c>
      <c r="B110" s="20">
        <f t="shared" si="5"/>
        <v>954726.5162866602</v>
      </c>
      <c r="C110" s="20">
        <f>-(Summary!$C$9/4)*J110</f>
        <v>-3652.0092030797923</v>
      </c>
      <c r="D110" s="20">
        <f t="shared" si="7"/>
        <v>42728.50767603357</v>
      </c>
      <c r="E110" s="20">
        <f>+Summary!$C$14*Model!B110/400</f>
        <v>7160.448872149952</v>
      </c>
      <c r="F110" s="20">
        <f>IF(MOD(A110,4)=0,-(SUM(C103:E106)-M110)*Summary!$C$15/100,0)</f>
        <v>-52068.4111517292</v>
      </c>
      <c r="G110" s="21">
        <f t="shared" si="6"/>
        <v>948895.0524800348</v>
      </c>
      <c r="H110" s="11"/>
      <c r="I110" s="27">
        <f t="shared" si="8"/>
        <v>21937.5</v>
      </c>
      <c r="J110" s="28">
        <f>(1+(Summary!$C$12/400))*J109</f>
        <v>1.947738241642556</v>
      </c>
      <c r="K110" s="21">
        <f t="shared" si="9"/>
        <v>42728.50767603357</v>
      </c>
      <c r="M110" s="20">
        <f>IF(MOD(A110,4)=0,+(M$3-SUM($M$4:M109))*0.25,0)</f>
        <v>282.2037968118675</v>
      </c>
    </row>
    <row r="111" spans="1:13" ht="12.75">
      <c r="A111" s="17">
        <v>109</v>
      </c>
      <c r="B111" s="20">
        <f t="shared" si="5"/>
        <v>948895.0524800348</v>
      </c>
      <c r="C111" s="20">
        <f>-(Summary!$C$9/4)*J111</f>
        <v>-3674.8342605990415</v>
      </c>
      <c r="D111" s="20">
        <f t="shared" si="7"/>
        <v>42995.56084900878</v>
      </c>
      <c r="E111" s="20">
        <f>+Summary!$C$14*Model!B111/400</f>
        <v>7116.712893600261</v>
      </c>
      <c r="F111" s="20">
        <f>IF(MOD(A111,4)=0,-(SUM(C104:E107)-M111)*Summary!$C$15/100,0)</f>
        <v>0</v>
      </c>
      <c r="G111" s="21">
        <f t="shared" si="6"/>
        <v>995332.4919620447</v>
      </c>
      <c r="H111" s="11"/>
      <c r="I111" s="27">
        <f t="shared" si="8"/>
        <v>21937.5</v>
      </c>
      <c r="J111" s="28">
        <f>(1+(Summary!$C$12/400))*J110</f>
        <v>1.959911605652822</v>
      </c>
      <c r="K111" s="21">
        <f t="shared" si="9"/>
        <v>42995.56084900878</v>
      </c>
      <c r="M111" s="20">
        <f>IF(MOD(A111,4)=0,+(M$3-SUM($M$4:M110))*0.25,0)</f>
        <v>0</v>
      </c>
    </row>
    <row r="112" spans="1:13" ht="12.75">
      <c r="A112" s="17">
        <v>110</v>
      </c>
      <c r="B112" s="20">
        <f t="shared" si="5"/>
        <v>995332.4919620447</v>
      </c>
      <c r="C112" s="20">
        <f>-(Summary!$C$9/4)*J112</f>
        <v>-3697.801974727786</v>
      </c>
      <c r="D112" s="20">
        <f t="shared" si="7"/>
        <v>43264.283104315095</v>
      </c>
      <c r="E112" s="20">
        <f>+Summary!$C$14*Model!B112/400</f>
        <v>7464.993689715336</v>
      </c>
      <c r="F112" s="20">
        <f>IF(MOD(A112,4)=0,-(SUM(C105:E108)-M112)*Summary!$C$15/100,0)</f>
        <v>0</v>
      </c>
      <c r="G112" s="21">
        <f t="shared" si="6"/>
        <v>1042363.9667813473</v>
      </c>
      <c r="H112" s="11"/>
      <c r="I112" s="27">
        <f t="shared" si="8"/>
        <v>21937.5</v>
      </c>
      <c r="J112" s="28">
        <f>(1+(Summary!$C$12/400))*J111</f>
        <v>1.9721610531881524</v>
      </c>
      <c r="K112" s="21">
        <f t="shared" si="9"/>
        <v>43264.283104315095</v>
      </c>
      <c r="M112" s="20">
        <f>IF(MOD(A112,4)=0,+(M$3-SUM($M$4:M111))*0.25,0)</f>
        <v>0</v>
      </c>
    </row>
    <row r="113" spans="1:13" ht="12.75">
      <c r="A113" s="17">
        <v>111</v>
      </c>
      <c r="B113" s="20">
        <f t="shared" si="5"/>
        <v>1042363.9667813473</v>
      </c>
      <c r="C113" s="20">
        <f>-(Summary!$C$9/4)*J113</f>
        <v>-3720.913237069835</v>
      </c>
      <c r="D113" s="20">
        <f t="shared" si="7"/>
        <v>43534.684873717066</v>
      </c>
      <c r="E113" s="20">
        <f>+Summary!$C$14*Model!B113/400</f>
        <v>7817.729750860105</v>
      </c>
      <c r="F113" s="20">
        <f>IF(MOD(A113,4)=0,-(SUM(C106:E109)-M113)*Summary!$C$15/100,0)</f>
        <v>0</v>
      </c>
      <c r="G113" s="21">
        <f t="shared" si="6"/>
        <v>1089995.4681688545</v>
      </c>
      <c r="H113" s="11"/>
      <c r="I113" s="27">
        <f t="shared" si="8"/>
        <v>21937.5</v>
      </c>
      <c r="J113" s="28">
        <f>(1+(Summary!$C$12/400))*J112</f>
        <v>1.9844870597705786</v>
      </c>
      <c r="K113" s="21">
        <f t="shared" si="9"/>
        <v>43534.684873717066</v>
      </c>
      <c r="M113" s="20">
        <f>IF(MOD(A113,4)=0,+(M$3-SUM($M$4:M112))*0.25,0)</f>
        <v>0</v>
      </c>
    </row>
    <row r="114" spans="1:13" ht="12.75">
      <c r="A114" s="17">
        <v>112</v>
      </c>
      <c r="B114" s="20">
        <f t="shared" si="5"/>
        <v>1089995.4681688545</v>
      </c>
      <c r="C114" s="20">
        <f>-(Summary!$C$9/4)*J114</f>
        <v>-3744.168944801522</v>
      </c>
      <c r="D114" s="20">
        <f t="shared" si="7"/>
        <v>43806.776654177804</v>
      </c>
      <c r="E114" s="20">
        <f>+Summary!$C$14*Model!B114/400</f>
        <v>8174.966011266408</v>
      </c>
      <c r="F114" s="20">
        <f>IF(MOD(A114,4)=0,-(SUM(C107:E110)-M114)*Summary!$C$15/100,0)</f>
        <v>-54374.66731764955</v>
      </c>
      <c r="G114" s="21">
        <f t="shared" si="6"/>
        <v>1083858.3745718477</v>
      </c>
      <c r="H114" s="11"/>
      <c r="I114" s="27">
        <f t="shared" si="8"/>
        <v>21937.5</v>
      </c>
      <c r="J114" s="28">
        <f>(1+(Summary!$C$12/400))*J113</f>
        <v>1.996890103894145</v>
      </c>
      <c r="K114" s="21">
        <f t="shared" si="9"/>
        <v>43806.776654177804</v>
      </c>
      <c r="M114" s="20">
        <f>IF(MOD(A114,4)=0,+(M$3-SUM($M$4:M113))*0.25,0)</f>
        <v>211.65284760890063</v>
      </c>
    </row>
    <row r="115" spans="1:13" ht="12.75">
      <c r="A115" s="17">
        <v>113</v>
      </c>
      <c r="B115" s="20">
        <f t="shared" si="5"/>
        <v>1083858.3745718477</v>
      </c>
      <c r="C115" s="20">
        <f>-(Summary!$C$9/4)*J115</f>
        <v>-3767.570000706532</v>
      </c>
      <c r="D115" s="20">
        <f t="shared" si="7"/>
        <v>44080.56900826642</v>
      </c>
      <c r="E115" s="20">
        <f>+Summary!$C$14*Model!B115/400</f>
        <v>8128.937809288858</v>
      </c>
      <c r="F115" s="20">
        <f>IF(MOD(A115,4)=0,-(SUM(C108:E111)-M115)*Summary!$C$15/100,0)</f>
        <v>0</v>
      </c>
      <c r="G115" s="21">
        <f t="shared" si="6"/>
        <v>1132300.3113886965</v>
      </c>
      <c r="H115" s="11"/>
      <c r="I115" s="27">
        <f t="shared" si="8"/>
        <v>21937.5</v>
      </c>
      <c r="J115" s="28">
        <f>(1+(Summary!$C$12/400))*J114</f>
        <v>2.0093706670434837</v>
      </c>
      <c r="K115" s="21">
        <f t="shared" si="9"/>
        <v>44080.56900826642</v>
      </c>
      <c r="M115" s="20">
        <f>IF(MOD(A115,4)=0,+(M$3-SUM($M$4:M114))*0.25,0)</f>
        <v>0</v>
      </c>
    </row>
    <row r="116" spans="1:13" ht="12.75">
      <c r="A116" s="17">
        <v>114</v>
      </c>
      <c r="B116" s="20">
        <f t="shared" si="5"/>
        <v>1132300.3113886965</v>
      </c>
      <c r="C116" s="20">
        <f>-(Summary!$C$9/4)*J116</f>
        <v>-3791.1173132109475</v>
      </c>
      <c r="D116" s="20">
        <f t="shared" si="7"/>
        <v>44356.07256456809</v>
      </c>
      <c r="E116" s="20">
        <f>+Summary!$C$14*Model!B116/400</f>
        <v>8492.252335415224</v>
      </c>
      <c r="F116" s="20">
        <f>IF(MOD(A116,4)=0,-(SUM(C109:E112)-M116)*Summary!$C$15/100,0)</f>
        <v>0</v>
      </c>
      <c r="G116" s="21">
        <f t="shared" si="6"/>
        <v>1181357.518975469</v>
      </c>
      <c r="H116" s="11"/>
      <c r="I116" s="27">
        <f t="shared" si="8"/>
        <v>21937.5</v>
      </c>
      <c r="J116" s="28">
        <f>(1+(Summary!$C$12/400))*J115</f>
        <v>2.0219292337125054</v>
      </c>
      <c r="K116" s="21">
        <f t="shared" si="9"/>
        <v>44356.07256456809</v>
      </c>
      <c r="M116" s="20">
        <f>IF(MOD(A116,4)=0,+(M$3-SUM($M$4:M115))*0.25,0)</f>
        <v>0</v>
      </c>
    </row>
    <row r="117" spans="1:13" ht="12.75">
      <c r="A117" s="17">
        <v>115</v>
      </c>
      <c r="B117" s="20">
        <f t="shared" si="5"/>
        <v>1181357.518975469</v>
      </c>
      <c r="C117" s="20">
        <f>-(Summary!$C$9/4)*J117</f>
        <v>-3814.8117964185167</v>
      </c>
      <c r="D117" s="20">
        <f t="shared" si="7"/>
        <v>44633.29801809665</v>
      </c>
      <c r="E117" s="20">
        <f>+Summary!$C$14*Model!B117/400</f>
        <v>8860.181392316017</v>
      </c>
      <c r="F117" s="20">
        <f>IF(MOD(A117,4)=0,-(SUM(C110:E113)-M117)*Summary!$C$15/100,0)</f>
        <v>0</v>
      </c>
      <c r="G117" s="21">
        <f t="shared" si="6"/>
        <v>1231036.1865894631</v>
      </c>
      <c r="H117" s="11"/>
      <c r="I117" s="27">
        <f t="shared" si="8"/>
        <v>21937.5</v>
      </c>
      <c r="J117" s="28">
        <f>(1+(Summary!$C$12/400))*J116</f>
        <v>2.034566291423209</v>
      </c>
      <c r="K117" s="21">
        <f t="shared" si="9"/>
        <v>44633.29801809665</v>
      </c>
      <c r="M117" s="20">
        <f>IF(MOD(A117,4)=0,+(M$3-SUM($M$4:M116))*0.25,0)</f>
        <v>0</v>
      </c>
    </row>
    <row r="118" spans="1:13" ht="12.75">
      <c r="A118" s="17">
        <v>116</v>
      </c>
      <c r="B118" s="20">
        <f t="shared" si="5"/>
        <v>1231036.1865894631</v>
      </c>
      <c r="C118" s="20">
        <f>-(Summary!$C$9/4)*J118</f>
        <v>-3838.654370146133</v>
      </c>
      <c r="D118" s="20">
        <f t="shared" si="7"/>
        <v>44912.25613070976</v>
      </c>
      <c r="E118" s="20">
        <f>+Summary!$C$14*Model!B118/400</f>
        <v>9232.771399420973</v>
      </c>
      <c r="F118" s="20">
        <f>IF(MOD(A118,4)=0,-(SUM(C111:E114)-M118)*Summary!$C$15/100,0)</f>
        <v>-56753.774932126806</v>
      </c>
      <c r="G118" s="21">
        <f t="shared" si="6"/>
        <v>1224588.784817321</v>
      </c>
      <c r="H118" s="11"/>
      <c r="I118" s="27">
        <f t="shared" si="8"/>
        <v>21937.5</v>
      </c>
      <c r="J118" s="28">
        <f>(1+(Summary!$C$12/400))*J117</f>
        <v>2.047282330744604</v>
      </c>
      <c r="K118" s="21">
        <f t="shared" si="9"/>
        <v>44912.25613070976</v>
      </c>
      <c r="M118" s="20">
        <f>IF(MOD(A118,4)=0,+(M$3-SUM($M$4:M117))*0.25,0)</f>
        <v>158.73963570664637</v>
      </c>
    </row>
    <row r="119" spans="1:13" ht="12.75">
      <c r="A119" s="17">
        <v>117</v>
      </c>
      <c r="B119" s="20">
        <f>G118</f>
        <v>1224588.784817321</v>
      </c>
      <c r="C119" s="20">
        <f>-(Summary!$C$9/4)*J119</f>
        <v>-3862.6459599595464</v>
      </c>
      <c r="D119" s="20">
        <f t="shared" si="7"/>
        <v>45192.957731526694</v>
      </c>
      <c r="E119" s="20">
        <f>+Summary!$C$14*Model!B119/400</f>
        <v>9184.415886129907</v>
      </c>
      <c r="F119" s="20">
        <f>IF(MOD(A119,4)=0,-(SUM(C112:E115)-M119)*Summary!$C$15/100,0)</f>
        <v>0</v>
      </c>
      <c r="G119" s="21">
        <f>SUM(B119:F119)</f>
        <v>1275103.5124750182</v>
      </c>
      <c r="H119" s="11"/>
      <c r="I119" s="27">
        <f t="shared" si="8"/>
        <v>21937.5</v>
      </c>
      <c r="J119" s="28">
        <f>(1+(Summary!$C$12/400))*J118</f>
        <v>2.060077845311758</v>
      </c>
      <c r="K119" s="21">
        <f t="shared" si="9"/>
        <v>45192.957731526694</v>
      </c>
      <c r="M119" s="20">
        <f>IF(MOD(A119,4)=0,+(M$3-SUM($M$4:M118))*0.25,0)</f>
        <v>0</v>
      </c>
    </row>
    <row r="120" spans="1:13" ht="12.75">
      <c r="A120" s="17">
        <v>118</v>
      </c>
      <c r="B120" s="20">
        <f>G119</f>
        <v>1275103.5124750182</v>
      </c>
      <c r="C120" s="20">
        <f>-(Summary!$C$9/4)*J120</f>
        <v>-3886.787497209294</v>
      </c>
      <c r="D120" s="20">
        <f t="shared" si="7"/>
        <v>45475.41371734874</v>
      </c>
      <c r="E120" s="20">
        <f>+Summary!$C$14*Model!B120/400</f>
        <v>9563.276343562635</v>
      </c>
      <c r="F120" s="20">
        <f>IF(MOD(A120,4)=0,-(SUM(C113:E116)-M120)*Summary!$C$15/100,0)</f>
        <v>0</v>
      </c>
      <c r="G120" s="21">
        <f>SUM(B120:F120)</f>
        <v>1326255.4150387202</v>
      </c>
      <c r="H120" s="11"/>
      <c r="I120" s="27">
        <f t="shared" si="8"/>
        <v>21937.5</v>
      </c>
      <c r="J120" s="28">
        <f>(1+(Summary!$C$12/400))*J119</f>
        <v>2.072953331844957</v>
      </c>
      <c r="K120" s="21">
        <f t="shared" si="9"/>
        <v>45475.41371734874</v>
      </c>
      <c r="M120" s="20">
        <f>IF(MOD(A120,4)=0,+(M$3-SUM($M$4:M119))*0.25,0)</f>
        <v>0</v>
      </c>
    </row>
    <row r="121" spans="1:13" ht="12.75">
      <c r="A121" s="17">
        <v>119</v>
      </c>
      <c r="B121" s="20">
        <f>G120</f>
        <v>1326255.4150387202</v>
      </c>
      <c r="C121" s="20">
        <f>-(Summary!$C$9/4)*J121</f>
        <v>-3911.0799190668527</v>
      </c>
      <c r="D121" s="20">
        <f t="shared" si="7"/>
        <v>45759.63505308217</v>
      </c>
      <c r="E121" s="20">
        <f>+Summary!$C$14*Model!B121/400</f>
        <v>9946.915612790403</v>
      </c>
      <c r="F121" s="20">
        <f>IF(MOD(A121,4)=0,-(SUM(C114:E117)-M121)*Summary!$C$15/100,0)</f>
        <v>0</v>
      </c>
      <c r="G121" s="21">
        <f>SUM(B121:F121)</f>
        <v>1378050.8857855261</v>
      </c>
      <c r="H121" s="11"/>
      <c r="I121" s="27">
        <f t="shared" si="8"/>
        <v>21937.5</v>
      </c>
      <c r="J121" s="28">
        <f>(1+(Summary!$C$12/400))*J120</f>
        <v>2.085909290168988</v>
      </c>
      <c r="K121" s="21">
        <f t="shared" si="9"/>
        <v>45759.63505308217</v>
      </c>
      <c r="M121" s="20">
        <f>IF(MOD(A121,4)=0,+(M$3-SUM($M$4:M120))*0.25,0)</f>
        <v>0</v>
      </c>
    </row>
    <row r="122" spans="1:13" ht="13.5" thickBot="1">
      <c r="A122" s="22">
        <v>120</v>
      </c>
      <c r="B122" s="23">
        <f>G121</f>
        <v>1378050.8857855261</v>
      </c>
      <c r="C122" s="23">
        <f>-(Summary!$C$9/4)*J122</f>
        <v>-3935.5241685610204</v>
      </c>
      <c r="D122" s="23">
        <f t="shared" si="7"/>
        <v>46045.63277216394</v>
      </c>
      <c r="E122" s="23">
        <f>+Summary!$C$14*Model!B122/400</f>
        <v>10335.381643391445</v>
      </c>
      <c r="F122" s="23">
        <f>IF(MOD(A122,4)=0,-(SUM(C115:E118)-M122)*Summary!$C$15/100,0)</f>
        <v>-59209.53913524596</v>
      </c>
      <c r="G122" s="24">
        <f>SUM(B122:F122)</f>
        <v>1371286.8368972745</v>
      </c>
      <c r="H122" s="11"/>
      <c r="I122" s="29">
        <f t="shared" si="8"/>
        <v>21937.5</v>
      </c>
      <c r="J122" s="30">
        <f>(1+(Summary!$C$12/400))*J121</f>
        <v>2.098946223232544</v>
      </c>
      <c r="K122" s="24">
        <f t="shared" si="9"/>
        <v>46045.63277216394</v>
      </c>
      <c r="M122" s="20">
        <f>IF(MOD(A122,4)=0,+(M$3-SUM($M$4:M121))*0.25,0)</f>
        <v>119.05472677998478</v>
      </c>
    </row>
  </sheetData>
  <printOptions horizontalCentered="1"/>
  <pageMargins left="0.35433070866141736" right="0.5" top="0.6" bottom="0.7480314960629921" header="0.34" footer="0.4724409448818898"/>
  <pageSetup fitToHeight="1" fitToWidth="1" horizontalDpi="300" verticalDpi="300" orientation="portrait" paperSize="9" scale="62" r:id="rId1"/>
  <headerFooter alignWithMargins="0">
    <oddHeader>&amp;C&amp;"Arial,Bold"&amp;14SUSTAINABLE ENGINEERING MODEL</oddHeader>
    <oddFooter>&amp;CPage &amp;P</oddFooter>
  </headerFooter>
</worksheet>
</file>

<file path=xl/worksheets/sheet2.xml><?xml version="1.0" encoding="utf-8"?>
<worksheet xmlns="http://schemas.openxmlformats.org/spreadsheetml/2006/main" xmlns:r="http://schemas.openxmlformats.org/officeDocument/2006/relationships">
  <dimension ref="B1:W107"/>
  <sheetViews>
    <sheetView tabSelected="1" zoomScale="75" zoomScaleNormal="75" workbookViewId="0" topLeftCell="B7">
      <selection activeCell="C13" sqref="C13"/>
    </sheetView>
  </sheetViews>
  <sheetFormatPr defaultColWidth="9.140625" defaultRowHeight="12.75"/>
  <cols>
    <col min="1" max="1" width="8.28125" style="1" customWidth="1"/>
    <col min="2" max="2" width="36.7109375" style="1" customWidth="1"/>
    <col min="3" max="3" width="17.421875" style="1" customWidth="1"/>
    <col min="4" max="4" width="2.28125" style="1" customWidth="1"/>
    <col min="5" max="5" width="10.421875" style="1" customWidth="1"/>
    <col min="6" max="6" width="35.421875" style="1" customWidth="1"/>
    <col min="7" max="7" width="18.140625" style="1" customWidth="1"/>
    <col min="8" max="8" width="2.28125" style="1" customWidth="1"/>
    <col min="9" max="16384" width="10.00390625" style="1" customWidth="1"/>
  </cols>
  <sheetData>
    <row r="1" spans="2:11" ht="18">
      <c r="B1" s="13"/>
      <c r="C1" s="13"/>
      <c r="D1" s="13"/>
      <c r="E1" s="13"/>
      <c r="F1" s="13"/>
      <c r="G1" s="13"/>
      <c r="H1" s="13"/>
      <c r="I1" s="13"/>
      <c r="J1" s="13"/>
      <c r="K1" s="13"/>
    </row>
    <row r="2" spans="2:11" ht="18">
      <c r="B2" s="13"/>
      <c r="C2" s="13"/>
      <c r="D2" s="13"/>
      <c r="E2" s="13"/>
      <c r="F2" s="13"/>
      <c r="G2" s="13"/>
      <c r="H2" s="13"/>
      <c r="I2" s="13"/>
      <c r="J2" s="13"/>
      <c r="K2" s="13"/>
    </row>
    <row r="3" spans="2:11" ht="18">
      <c r="B3" s="13"/>
      <c r="C3" s="13"/>
      <c r="D3" s="13"/>
      <c r="E3" s="13"/>
      <c r="F3" s="13"/>
      <c r="G3" s="13"/>
      <c r="H3" s="13"/>
      <c r="I3" s="13"/>
      <c r="J3" s="13"/>
      <c r="K3" s="13"/>
    </row>
    <row r="4" spans="2:11" ht="18">
      <c r="B4" s="13"/>
      <c r="C4" s="13"/>
      <c r="D4" s="13"/>
      <c r="E4" s="13"/>
      <c r="F4" s="13"/>
      <c r="G4" s="13"/>
      <c r="H4" s="13"/>
      <c r="I4" s="13"/>
      <c r="J4" s="13"/>
      <c r="K4" s="13"/>
    </row>
    <row r="5" spans="2:11" ht="18.75" thickBot="1">
      <c r="B5" s="13"/>
      <c r="C5" s="13"/>
      <c r="D5" s="13"/>
      <c r="E5" s="13"/>
      <c r="F5" s="13"/>
      <c r="G5" s="13"/>
      <c r="H5" s="13"/>
      <c r="I5" s="13"/>
      <c r="J5" s="13"/>
      <c r="K5" s="13"/>
    </row>
    <row r="6" spans="2:23" ht="18">
      <c r="B6" s="32" t="s">
        <v>11</v>
      </c>
      <c r="C6" s="33"/>
      <c r="D6" s="34"/>
      <c r="F6" s="13"/>
      <c r="H6" s="13"/>
      <c r="I6" s="13"/>
      <c r="J6" s="13"/>
      <c r="K6" s="13"/>
      <c r="L6" s="13"/>
      <c r="M6" s="13"/>
      <c r="N6" s="13"/>
      <c r="O6" s="13"/>
      <c r="P6" s="13"/>
      <c r="Q6" s="13"/>
      <c r="R6" s="13"/>
      <c r="S6" s="13"/>
      <c r="T6" s="13"/>
      <c r="U6" s="13"/>
      <c r="V6" s="13"/>
      <c r="W6" s="13"/>
    </row>
    <row r="7" spans="2:23" ht="18">
      <c r="B7" s="31"/>
      <c r="C7" s="6"/>
      <c r="D7" s="7"/>
      <c r="F7" s="13"/>
      <c r="H7" s="13"/>
      <c r="I7" s="13"/>
      <c r="J7" s="13"/>
      <c r="K7" s="13"/>
      <c r="L7" s="13"/>
      <c r="M7" s="13"/>
      <c r="N7" s="13"/>
      <c r="O7" s="13"/>
      <c r="P7" s="13"/>
      <c r="Q7" s="13"/>
      <c r="R7" s="13"/>
      <c r="S7" s="13"/>
      <c r="T7" s="13"/>
      <c r="U7" s="13"/>
      <c r="V7" s="13"/>
      <c r="W7" s="13"/>
    </row>
    <row r="8" spans="2:23" ht="18">
      <c r="B8" s="5" t="s">
        <v>12</v>
      </c>
      <c r="C8" s="35">
        <v>1500000</v>
      </c>
      <c r="D8" s="7"/>
      <c r="F8" s="13"/>
      <c r="G8" s="13"/>
      <c r="H8" s="13"/>
      <c r="I8" s="13"/>
      <c r="J8" s="13"/>
      <c r="K8" s="13"/>
      <c r="L8" s="13"/>
      <c r="M8" s="13"/>
      <c r="N8" s="13"/>
      <c r="O8" s="13"/>
      <c r="P8" s="13"/>
      <c r="Q8" s="13"/>
      <c r="R8" s="13"/>
      <c r="S8" s="13"/>
      <c r="T8" s="13"/>
      <c r="U8" s="13"/>
      <c r="V8" s="13"/>
      <c r="W8" s="13"/>
    </row>
    <row r="9" spans="2:23" ht="18.75" thickBot="1">
      <c r="B9" s="5" t="s">
        <v>13</v>
      </c>
      <c r="C9" s="35">
        <f>+C8/200</f>
        <v>7500</v>
      </c>
      <c r="D9" s="7"/>
      <c r="F9" s="13"/>
      <c r="G9" s="13"/>
      <c r="H9" s="13"/>
      <c r="I9" s="13"/>
      <c r="J9" s="13"/>
      <c r="K9" s="13"/>
      <c r="L9" s="13"/>
      <c r="M9" s="13"/>
      <c r="N9" s="13"/>
      <c r="O9" s="13"/>
      <c r="P9" s="13"/>
      <c r="Q9" s="13"/>
      <c r="R9" s="13"/>
      <c r="S9" s="13"/>
      <c r="T9" s="13"/>
      <c r="U9" s="13"/>
      <c r="V9" s="13"/>
      <c r="W9" s="13"/>
    </row>
    <row r="10" spans="2:23" ht="18">
      <c r="B10" s="5" t="s">
        <v>14</v>
      </c>
      <c r="C10" s="35">
        <v>1300000</v>
      </c>
      <c r="D10" s="7"/>
      <c r="F10" s="38" t="s">
        <v>15</v>
      </c>
      <c r="G10" s="39"/>
      <c r="H10" s="40"/>
      <c r="I10" s="13"/>
      <c r="J10" s="13"/>
      <c r="K10" s="13"/>
      <c r="L10" s="13"/>
      <c r="M10" s="13"/>
      <c r="N10" s="13"/>
      <c r="O10" s="13"/>
      <c r="P10" s="13"/>
      <c r="Q10" s="13"/>
      <c r="R10" s="13"/>
      <c r="S10" s="13"/>
      <c r="T10" s="13"/>
      <c r="U10" s="13"/>
      <c r="V10" s="13"/>
      <c r="W10" s="13"/>
    </row>
    <row r="11" spans="2:23" ht="18">
      <c r="B11" s="5" t="s">
        <v>16</v>
      </c>
      <c r="C11" s="36">
        <v>6.75</v>
      </c>
      <c r="D11" s="7"/>
      <c r="F11" s="41"/>
      <c r="G11" s="42"/>
      <c r="H11" s="43"/>
      <c r="I11" s="13"/>
      <c r="J11" s="13"/>
      <c r="K11" s="13"/>
      <c r="L11" s="13"/>
      <c r="M11" s="13"/>
      <c r="N11" s="13"/>
      <c r="O11" s="13"/>
      <c r="P11" s="13"/>
      <c r="Q11" s="13"/>
      <c r="R11" s="13"/>
      <c r="S11" s="13"/>
      <c r="T11" s="13"/>
      <c r="U11" s="13"/>
      <c r="V11" s="13"/>
      <c r="W11" s="13"/>
    </row>
    <row r="12" spans="2:23" ht="18">
      <c r="B12" s="5" t="s">
        <v>17</v>
      </c>
      <c r="C12" s="36">
        <v>2.5</v>
      </c>
      <c r="D12" s="7"/>
      <c r="F12" s="44" t="s">
        <v>18</v>
      </c>
      <c r="G12" s="45">
        <f>VLOOKUP(C13,datatable,7)</f>
        <v>25037.233224165702</v>
      </c>
      <c r="H12" s="43"/>
      <c r="I12" s="13"/>
      <c r="J12" s="13"/>
      <c r="K12" s="13"/>
      <c r="L12" s="13"/>
      <c r="M12" s="13"/>
      <c r="N12" s="13"/>
      <c r="O12" s="13"/>
      <c r="P12" s="13"/>
      <c r="Q12" s="13"/>
      <c r="R12" s="13"/>
      <c r="S12" s="13"/>
      <c r="T12" s="13"/>
      <c r="U12" s="13"/>
      <c r="V12" s="13"/>
      <c r="W12" s="13"/>
    </row>
    <row r="13" spans="2:23" ht="18.75" thickBot="1">
      <c r="B13" s="5" t="s">
        <v>19</v>
      </c>
      <c r="C13" s="35">
        <v>74</v>
      </c>
      <c r="D13" s="7"/>
      <c r="F13" s="46"/>
      <c r="G13" s="47"/>
      <c r="H13" s="48"/>
      <c r="I13" s="13"/>
      <c r="J13" s="13"/>
      <c r="K13" s="13"/>
      <c r="L13" s="13"/>
      <c r="M13" s="13"/>
      <c r="N13" s="13"/>
      <c r="O13" s="13"/>
      <c r="P13" s="13"/>
      <c r="Q13" s="13"/>
      <c r="R13" s="13"/>
      <c r="S13" s="13"/>
      <c r="T13" s="13"/>
      <c r="U13" s="13"/>
      <c r="V13" s="13"/>
      <c r="W13" s="13"/>
    </row>
    <row r="14" spans="2:23" ht="18">
      <c r="B14" s="5" t="s">
        <v>20</v>
      </c>
      <c r="C14" s="50">
        <v>3</v>
      </c>
      <c r="D14" s="7"/>
      <c r="F14" s="13"/>
      <c r="G14" s="13"/>
      <c r="H14" s="13"/>
      <c r="I14" s="13"/>
      <c r="J14" s="13"/>
      <c r="K14" s="13"/>
      <c r="L14" s="13"/>
      <c r="M14" s="13"/>
      <c r="N14" s="13"/>
      <c r="O14" s="13"/>
      <c r="P14" s="13"/>
      <c r="Q14" s="13"/>
      <c r="R14" s="13"/>
      <c r="S14" s="13"/>
      <c r="T14" s="13"/>
      <c r="U14" s="13"/>
      <c r="V14" s="13"/>
      <c r="W14" s="13"/>
    </row>
    <row r="15" spans="2:23" ht="18">
      <c r="B15" s="5" t="s">
        <v>21</v>
      </c>
      <c r="C15" s="35">
        <v>30</v>
      </c>
      <c r="D15" s="7"/>
      <c r="F15" s="13"/>
      <c r="G15" s="13"/>
      <c r="H15" s="13"/>
      <c r="I15" s="13"/>
      <c r="J15" s="13"/>
      <c r="K15" s="13"/>
      <c r="L15" s="13"/>
      <c r="M15" s="13"/>
      <c r="N15" s="13"/>
      <c r="O15" s="13"/>
      <c r="P15" s="13"/>
      <c r="Q15" s="13"/>
      <c r="R15" s="13"/>
      <c r="S15" s="13"/>
      <c r="T15" s="13"/>
      <c r="U15" s="13"/>
      <c r="V15" s="13"/>
      <c r="W15" s="13"/>
    </row>
    <row r="16" spans="2:23" ht="18.75" thickBot="1">
      <c r="B16" s="8"/>
      <c r="C16" s="9"/>
      <c r="D16" s="10"/>
      <c r="F16" s="13"/>
      <c r="G16" s="13"/>
      <c r="H16" s="13"/>
      <c r="I16" s="13"/>
      <c r="J16" s="13"/>
      <c r="K16" s="13"/>
      <c r="L16" s="13"/>
      <c r="M16" s="13"/>
      <c r="N16" s="13"/>
      <c r="O16" s="13"/>
      <c r="P16" s="13"/>
      <c r="Q16" s="13"/>
      <c r="R16" s="13"/>
      <c r="S16" s="13"/>
      <c r="T16" s="13"/>
      <c r="U16" s="13"/>
      <c r="V16" s="13"/>
      <c r="W16" s="13"/>
    </row>
    <row r="17" spans="2:23" ht="18">
      <c r="B17" s="13"/>
      <c r="C17" s="13"/>
      <c r="D17" s="13"/>
      <c r="E17" s="13"/>
      <c r="F17" s="13"/>
      <c r="G17" s="13"/>
      <c r="H17" s="13"/>
      <c r="I17" s="13"/>
      <c r="J17" s="13"/>
      <c r="K17" s="13"/>
      <c r="L17" s="13"/>
      <c r="M17" s="13"/>
      <c r="N17" s="13"/>
      <c r="O17" s="13"/>
      <c r="P17" s="13"/>
      <c r="Q17" s="13"/>
      <c r="R17" s="13"/>
      <c r="S17" s="13"/>
      <c r="T17" s="13"/>
      <c r="U17" s="13"/>
      <c r="V17" s="13"/>
      <c r="W17" s="13"/>
    </row>
    <row r="18" spans="2:23" ht="18">
      <c r="B18" s="13"/>
      <c r="C18" s="13"/>
      <c r="D18" s="13"/>
      <c r="E18" s="13"/>
      <c r="F18" s="13"/>
      <c r="G18" s="13"/>
      <c r="H18" s="13"/>
      <c r="I18" s="13"/>
      <c r="J18" s="13"/>
      <c r="K18" s="13"/>
      <c r="L18" s="13"/>
      <c r="M18" s="13"/>
      <c r="N18" s="13"/>
      <c r="O18" s="13"/>
      <c r="P18" s="13"/>
      <c r="Q18" s="13"/>
      <c r="R18" s="13"/>
      <c r="S18" s="13"/>
      <c r="T18" s="13"/>
      <c r="U18" s="13"/>
      <c r="V18" s="13"/>
      <c r="W18" s="13"/>
    </row>
    <row r="19" spans="2:23" ht="18">
      <c r="B19" s="13"/>
      <c r="C19" s="13"/>
      <c r="D19" s="13"/>
      <c r="E19" s="13"/>
      <c r="F19" s="13"/>
      <c r="G19" s="13"/>
      <c r="H19" s="13"/>
      <c r="I19" s="13"/>
      <c r="J19" s="13"/>
      <c r="K19" s="13"/>
      <c r="L19" s="13"/>
      <c r="M19" s="13"/>
      <c r="N19" s="13"/>
      <c r="O19" s="13"/>
      <c r="P19" s="13"/>
      <c r="Q19" s="13"/>
      <c r="R19" s="13"/>
      <c r="S19" s="13"/>
      <c r="T19" s="13"/>
      <c r="U19" s="13"/>
      <c r="V19" s="13"/>
      <c r="W19" s="13"/>
    </row>
    <row r="20" spans="2:23" ht="18">
      <c r="B20" s="13"/>
      <c r="C20" s="13"/>
      <c r="D20" s="13"/>
      <c r="E20" s="13"/>
      <c r="F20" s="13"/>
      <c r="G20" s="13"/>
      <c r="H20" s="13"/>
      <c r="I20" s="13"/>
      <c r="J20" s="13"/>
      <c r="K20" s="13"/>
      <c r="L20" s="13"/>
      <c r="M20" s="13"/>
      <c r="N20" s="13"/>
      <c r="O20" s="13"/>
      <c r="P20" s="13"/>
      <c r="Q20" s="13"/>
      <c r="R20" s="13"/>
      <c r="S20" s="13"/>
      <c r="T20" s="13"/>
      <c r="U20" s="13"/>
      <c r="V20" s="13"/>
      <c r="W20" s="13"/>
    </row>
    <row r="21" spans="2:23" ht="18">
      <c r="B21" s="12"/>
      <c r="C21" s="13"/>
      <c r="D21" s="13"/>
      <c r="E21" s="13"/>
      <c r="F21" s="13"/>
      <c r="G21" s="13"/>
      <c r="H21" s="13"/>
      <c r="I21" s="13"/>
      <c r="J21" s="13"/>
      <c r="K21" s="13"/>
      <c r="L21" s="13"/>
      <c r="M21" s="13"/>
      <c r="N21" s="13"/>
      <c r="O21" s="13"/>
      <c r="P21" s="13"/>
      <c r="Q21" s="13"/>
      <c r="R21" s="13"/>
      <c r="S21" s="13"/>
      <c r="T21" s="13"/>
      <c r="U21" s="13"/>
      <c r="V21" s="13"/>
      <c r="W21" s="13"/>
    </row>
    <row r="22" spans="2:23" ht="18">
      <c r="B22" s="13"/>
      <c r="C22" s="13"/>
      <c r="D22" s="13"/>
      <c r="E22" s="13"/>
      <c r="F22" s="13"/>
      <c r="G22" s="13"/>
      <c r="H22" s="13"/>
      <c r="I22" s="13"/>
      <c r="J22" s="13"/>
      <c r="K22" s="13"/>
      <c r="L22" s="13"/>
      <c r="M22" s="13"/>
      <c r="N22" s="13"/>
      <c r="O22" s="13"/>
      <c r="P22" s="13"/>
      <c r="Q22" s="13"/>
      <c r="R22" s="13"/>
      <c r="S22" s="13"/>
      <c r="T22" s="13"/>
      <c r="U22" s="13"/>
      <c r="V22" s="13"/>
      <c r="W22" s="13"/>
    </row>
    <row r="23" spans="2:23" ht="18">
      <c r="B23" s="49"/>
      <c r="C23" s="13"/>
      <c r="D23" s="13"/>
      <c r="E23" s="13"/>
      <c r="F23" s="13"/>
      <c r="G23" s="13"/>
      <c r="H23" s="13"/>
      <c r="I23" s="13"/>
      <c r="J23" s="13"/>
      <c r="K23" s="13"/>
      <c r="L23" s="13"/>
      <c r="M23" s="13"/>
      <c r="N23" s="13"/>
      <c r="O23" s="13"/>
      <c r="P23" s="13"/>
      <c r="Q23" s="13"/>
      <c r="R23" s="13"/>
      <c r="S23" s="13"/>
      <c r="T23" s="13"/>
      <c r="U23" s="13"/>
      <c r="V23" s="13"/>
      <c r="W23" s="13"/>
    </row>
    <row r="24" spans="2:23" ht="18">
      <c r="B24" s="13"/>
      <c r="C24" s="13"/>
      <c r="D24" s="13"/>
      <c r="E24" s="13"/>
      <c r="F24" s="13"/>
      <c r="G24" s="13"/>
      <c r="H24" s="13"/>
      <c r="I24" s="13"/>
      <c r="J24" s="13"/>
      <c r="K24" s="13"/>
      <c r="L24" s="13"/>
      <c r="M24" s="13"/>
      <c r="N24" s="13"/>
      <c r="O24" s="13"/>
      <c r="P24" s="13"/>
      <c r="Q24" s="13"/>
      <c r="R24" s="13"/>
      <c r="S24" s="13"/>
      <c r="T24" s="13"/>
      <c r="U24" s="13"/>
      <c r="V24" s="13"/>
      <c r="W24" s="13"/>
    </row>
    <row r="25" spans="2:23" ht="18">
      <c r="B25" s="13"/>
      <c r="C25" s="13"/>
      <c r="D25" s="13"/>
      <c r="E25" s="13"/>
      <c r="F25" s="13"/>
      <c r="G25" s="13"/>
      <c r="H25" s="13"/>
      <c r="I25" s="13"/>
      <c r="J25" s="13"/>
      <c r="K25" s="13"/>
      <c r="L25" s="13"/>
      <c r="M25" s="13"/>
      <c r="N25" s="13"/>
      <c r="O25" s="13"/>
      <c r="P25" s="13"/>
      <c r="Q25" s="13"/>
      <c r="R25" s="13"/>
      <c r="S25" s="13"/>
      <c r="T25" s="13"/>
      <c r="U25" s="13"/>
      <c r="V25" s="13"/>
      <c r="W25" s="13"/>
    </row>
    <row r="26" spans="2:23" ht="18">
      <c r="B26" s="13"/>
      <c r="C26" s="13"/>
      <c r="D26" s="13"/>
      <c r="E26" s="13"/>
      <c r="F26" s="13"/>
      <c r="G26" s="13"/>
      <c r="H26" s="13"/>
      <c r="I26" s="13"/>
      <c r="J26" s="13"/>
      <c r="K26" s="13"/>
      <c r="L26" s="13"/>
      <c r="M26" s="13"/>
      <c r="N26" s="13"/>
      <c r="O26" s="13"/>
      <c r="P26" s="13"/>
      <c r="Q26" s="13"/>
      <c r="R26" s="13"/>
      <c r="S26" s="13"/>
      <c r="T26" s="13"/>
      <c r="U26" s="13"/>
      <c r="V26" s="13"/>
      <c r="W26" s="13"/>
    </row>
    <row r="27" spans="2:23" ht="18">
      <c r="B27" s="13"/>
      <c r="C27" s="13"/>
      <c r="D27" s="13"/>
      <c r="E27" s="13"/>
      <c r="F27" s="13"/>
      <c r="G27" s="13"/>
      <c r="H27" s="13"/>
      <c r="I27" s="13"/>
      <c r="J27" s="13"/>
      <c r="K27" s="13"/>
      <c r="L27" s="13"/>
      <c r="M27" s="13"/>
      <c r="N27" s="13"/>
      <c r="O27" s="13"/>
      <c r="P27" s="13"/>
      <c r="Q27" s="13"/>
      <c r="R27" s="13"/>
      <c r="S27" s="13"/>
      <c r="T27" s="13"/>
      <c r="U27" s="13"/>
      <c r="V27" s="13"/>
      <c r="W27" s="13"/>
    </row>
    <row r="28" spans="2:23" ht="18">
      <c r="B28" s="13"/>
      <c r="C28" s="13"/>
      <c r="D28" s="13"/>
      <c r="E28" s="13"/>
      <c r="F28" s="13"/>
      <c r="G28" s="13"/>
      <c r="H28" s="13"/>
      <c r="I28" s="13"/>
      <c r="J28" s="13"/>
      <c r="K28" s="13"/>
      <c r="L28" s="13"/>
      <c r="M28" s="13"/>
      <c r="N28" s="13"/>
      <c r="O28" s="13"/>
      <c r="P28" s="13"/>
      <c r="Q28" s="13"/>
      <c r="R28" s="13"/>
      <c r="S28" s="13"/>
      <c r="T28" s="13"/>
      <c r="U28" s="13"/>
      <c r="V28" s="13"/>
      <c r="W28" s="13"/>
    </row>
    <row r="29" spans="2:23" ht="18">
      <c r="B29" s="13"/>
      <c r="C29" s="13"/>
      <c r="D29" s="13"/>
      <c r="E29" s="13"/>
      <c r="F29" s="13"/>
      <c r="G29" s="13"/>
      <c r="H29" s="13"/>
      <c r="I29" s="13"/>
      <c r="J29" s="13"/>
      <c r="K29" s="13"/>
      <c r="L29" s="13"/>
      <c r="M29" s="13"/>
      <c r="N29" s="13"/>
      <c r="O29" s="13"/>
      <c r="P29" s="13"/>
      <c r="Q29" s="13"/>
      <c r="R29" s="13"/>
      <c r="S29" s="13"/>
      <c r="T29" s="13"/>
      <c r="U29" s="13"/>
      <c r="V29" s="13"/>
      <c r="W29" s="13"/>
    </row>
    <row r="30" spans="2:23" ht="18">
      <c r="B30" s="13"/>
      <c r="C30" s="13"/>
      <c r="D30" s="13"/>
      <c r="E30" s="13"/>
      <c r="F30" s="13"/>
      <c r="G30" s="13"/>
      <c r="H30" s="13"/>
      <c r="I30" s="13"/>
      <c r="J30" s="13"/>
      <c r="K30" s="13"/>
      <c r="L30" s="13"/>
      <c r="M30" s="13"/>
      <c r="N30" s="13"/>
      <c r="O30" s="13"/>
      <c r="P30" s="13"/>
      <c r="Q30" s="13"/>
      <c r="R30" s="13"/>
      <c r="S30" s="13"/>
      <c r="T30" s="13"/>
      <c r="U30" s="13"/>
      <c r="V30" s="13"/>
      <c r="W30" s="13"/>
    </row>
    <row r="31" spans="2:23" ht="18">
      <c r="B31" s="13"/>
      <c r="C31" s="13"/>
      <c r="D31" s="13"/>
      <c r="E31" s="13"/>
      <c r="F31" s="13"/>
      <c r="G31" s="13"/>
      <c r="H31" s="13"/>
      <c r="I31" s="13"/>
      <c r="J31" s="13"/>
      <c r="K31" s="13"/>
      <c r="L31" s="13"/>
      <c r="M31" s="13"/>
      <c r="N31" s="13"/>
      <c r="O31" s="13"/>
      <c r="P31" s="13"/>
      <c r="Q31" s="13"/>
      <c r="R31" s="13"/>
      <c r="S31" s="13"/>
      <c r="T31" s="13"/>
      <c r="U31" s="13"/>
      <c r="V31" s="13"/>
      <c r="W31" s="13"/>
    </row>
    <row r="32" spans="2:23" ht="18">
      <c r="B32" s="13"/>
      <c r="C32" s="13"/>
      <c r="D32" s="13"/>
      <c r="E32" s="13"/>
      <c r="F32" s="13"/>
      <c r="G32" s="13"/>
      <c r="H32" s="13"/>
      <c r="I32" s="13"/>
      <c r="J32" s="13"/>
      <c r="K32" s="13"/>
      <c r="L32" s="13"/>
      <c r="M32" s="13"/>
      <c r="N32" s="13"/>
      <c r="O32" s="13"/>
      <c r="P32" s="13"/>
      <c r="Q32" s="13"/>
      <c r="R32" s="13"/>
      <c r="S32" s="13"/>
      <c r="T32" s="13"/>
      <c r="U32" s="13"/>
      <c r="V32" s="13"/>
      <c r="W32" s="13"/>
    </row>
    <row r="33" spans="2:23" ht="18">
      <c r="B33" s="13"/>
      <c r="C33" s="13"/>
      <c r="D33" s="13"/>
      <c r="E33" s="13"/>
      <c r="F33" s="13"/>
      <c r="G33" s="13"/>
      <c r="H33" s="13"/>
      <c r="I33" s="13"/>
      <c r="J33" s="13"/>
      <c r="K33" s="13"/>
      <c r="L33" s="13"/>
      <c r="M33" s="13"/>
      <c r="N33" s="13"/>
      <c r="O33" s="13"/>
      <c r="P33" s="13"/>
      <c r="Q33" s="13"/>
      <c r="R33" s="13"/>
      <c r="S33" s="13"/>
      <c r="T33" s="13"/>
      <c r="U33" s="13"/>
      <c r="V33" s="13"/>
      <c r="W33" s="13"/>
    </row>
    <row r="34" spans="2:23" ht="18">
      <c r="B34" s="13"/>
      <c r="C34" s="13"/>
      <c r="D34" s="13"/>
      <c r="E34" s="13"/>
      <c r="F34" s="13"/>
      <c r="G34" s="13"/>
      <c r="H34" s="13"/>
      <c r="I34" s="13"/>
      <c r="J34" s="13"/>
      <c r="K34" s="13"/>
      <c r="L34" s="13"/>
      <c r="M34" s="13"/>
      <c r="N34" s="13"/>
      <c r="O34" s="13"/>
      <c r="P34" s="13"/>
      <c r="Q34" s="13"/>
      <c r="R34" s="13"/>
      <c r="S34" s="13"/>
      <c r="T34" s="13"/>
      <c r="U34" s="13"/>
      <c r="V34" s="13"/>
      <c r="W34" s="13"/>
    </row>
    <row r="35" spans="2:23" ht="18">
      <c r="B35" s="13"/>
      <c r="C35" s="13"/>
      <c r="D35" s="13"/>
      <c r="E35" s="13"/>
      <c r="F35" s="13"/>
      <c r="G35" s="13"/>
      <c r="H35" s="13"/>
      <c r="I35" s="13"/>
      <c r="J35" s="13"/>
      <c r="K35" s="13"/>
      <c r="L35" s="13"/>
      <c r="M35" s="13"/>
      <c r="N35" s="13"/>
      <c r="O35" s="13"/>
      <c r="P35" s="13"/>
      <c r="Q35" s="13"/>
      <c r="R35" s="13"/>
      <c r="S35" s="13"/>
      <c r="T35" s="13"/>
      <c r="U35" s="13"/>
      <c r="V35" s="13"/>
      <c r="W35" s="13"/>
    </row>
    <row r="36" spans="2:23" ht="18">
      <c r="B36" s="13"/>
      <c r="C36" s="13"/>
      <c r="D36" s="13"/>
      <c r="E36" s="13"/>
      <c r="F36" s="13"/>
      <c r="G36" s="13"/>
      <c r="H36" s="13"/>
      <c r="I36" s="13"/>
      <c r="J36" s="13"/>
      <c r="K36" s="13"/>
      <c r="L36" s="13"/>
      <c r="M36" s="13"/>
      <c r="N36" s="13"/>
      <c r="O36" s="13"/>
      <c r="P36" s="13"/>
      <c r="Q36" s="13"/>
      <c r="R36" s="13"/>
      <c r="S36" s="13"/>
      <c r="T36" s="13"/>
      <c r="U36" s="13"/>
      <c r="V36" s="13"/>
      <c r="W36" s="13"/>
    </row>
    <row r="37" spans="2:23" ht="18">
      <c r="B37" s="13"/>
      <c r="C37" s="13"/>
      <c r="D37" s="13"/>
      <c r="E37" s="13"/>
      <c r="F37" s="13"/>
      <c r="G37" s="13"/>
      <c r="H37" s="13"/>
      <c r="I37" s="13"/>
      <c r="J37" s="13"/>
      <c r="K37" s="13"/>
      <c r="L37" s="13"/>
      <c r="M37" s="13"/>
      <c r="N37" s="13"/>
      <c r="O37" s="13"/>
      <c r="P37" s="13"/>
      <c r="Q37" s="13"/>
      <c r="R37" s="13"/>
      <c r="S37" s="13"/>
      <c r="T37" s="13"/>
      <c r="U37" s="13"/>
      <c r="V37" s="13"/>
      <c r="W37" s="13"/>
    </row>
    <row r="38" spans="2:23" ht="18">
      <c r="B38" s="13"/>
      <c r="C38" s="13"/>
      <c r="D38" s="13"/>
      <c r="E38" s="13"/>
      <c r="F38" s="13"/>
      <c r="G38" s="13"/>
      <c r="H38" s="13"/>
      <c r="I38" s="13"/>
      <c r="J38" s="13"/>
      <c r="K38" s="13"/>
      <c r="L38" s="13"/>
      <c r="M38" s="13"/>
      <c r="N38" s="13"/>
      <c r="O38" s="13"/>
      <c r="P38" s="13"/>
      <c r="Q38" s="13"/>
      <c r="R38" s="13"/>
      <c r="S38" s="13"/>
      <c r="T38" s="13"/>
      <c r="U38" s="13"/>
      <c r="V38" s="13"/>
      <c r="W38" s="13"/>
    </row>
    <row r="39" spans="2:23" ht="18">
      <c r="B39" s="13"/>
      <c r="C39" s="13"/>
      <c r="D39" s="13"/>
      <c r="E39" s="13"/>
      <c r="F39" s="13"/>
      <c r="G39" s="13"/>
      <c r="H39" s="13"/>
      <c r="I39" s="13"/>
      <c r="J39" s="13"/>
      <c r="K39" s="13"/>
      <c r="L39" s="13"/>
      <c r="M39" s="13"/>
      <c r="N39" s="13"/>
      <c r="O39" s="13"/>
      <c r="P39" s="13"/>
      <c r="Q39" s="13"/>
      <c r="R39" s="13"/>
      <c r="S39" s="13"/>
      <c r="T39" s="13"/>
      <c r="U39" s="13"/>
      <c r="V39" s="13"/>
      <c r="W39" s="13"/>
    </row>
    <row r="40" spans="2:23" ht="18">
      <c r="B40" s="13"/>
      <c r="C40" s="13"/>
      <c r="D40" s="13"/>
      <c r="E40" s="13"/>
      <c r="F40" s="13"/>
      <c r="G40" s="13"/>
      <c r="H40" s="13"/>
      <c r="I40" s="13"/>
      <c r="J40" s="13"/>
      <c r="K40" s="13"/>
      <c r="L40" s="13"/>
      <c r="M40" s="13"/>
      <c r="N40" s="13"/>
      <c r="O40" s="13"/>
      <c r="P40" s="13"/>
      <c r="Q40" s="13"/>
      <c r="R40" s="13"/>
      <c r="S40" s="13"/>
      <c r="T40" s="13"/>
      <c r="U40" s="13"/>
      <c r="V40" s="13"/>
      <c r="W40" s="13"/>
    </row>
    <row r="41" spans="2:10" ht="18">
      <c r="B41" s="13"/>
      <c r="C41" s="13"/>
      <c r="D41" s="13"/>
      <c r="E41" s="13"/>
      <c r="F41" s="13"/>
      <c r="G41" s="13"/>
      <c r="H41" s="13"/>
      <c r="I41" s="13"/>
      <c r="J41" s="13"/>
    </row>
    <row r="42" spans="2:10" ht="18">
      <c r="B42" s="13"/>
      <c r="C42" s="13"/>
      <c r="D42" s="13"/>
      <c r="E42" s="13"/>
      <c r="F42" s="13"/>
      <c r="G42" s="13"/>
      <c r="H42" s="13"/>
      <c r="I42" s="13"/>
      <c r="J42" s="13"/>
    </row>
    <row r="43" spans="2:10" ht="18">
      <c r="B43" s="13"/>
      <c r="C43" s="13"/>
      <c r="D43" s="13"/>
      <c r="E43" s="13"/>
      <c r="F43" s="13"/>
      <c r="G43" s="13"/>
      <c r="H43" s="13"/>
      <c r="I43" s="13"/>
      <c r="J43" s="13"/>
    </row>
    <row r="44" spans="2:10" ht="18">
      <c r="B44" s="13"/>
      <c r="C44" s="13"/>
      <c r="D44" s="13"/>
      <c r="E44" s="13"/>
      <c r="F44" s="13"/>
      <c r="G44" s="13"/>
      <c r="H44" s="13"/>
      <c r="I44" s="13"/>
      <c r="J44" s="13"/>
    </row>
    <row r="45" spans="2:10" ht="18">
      <c r="B45" s="13"/>
      <c r="C45" s="13"/>
      <c r="D45" s="13"/>
      <c r="E45" s="13"/>
      <c r="F45" s="13"/>
      <c r="G45" s="13"/>
      <c r="H45" s="13"/>
      <c r="I45" s="13"/>
      <c r="J45" s="13"/>
    </row>
    <row r="46" spans="2:10" ht="18">
      <c r="B46" s="13"/>
      <c r="C46" s="13"/>
      <c r="D46" s="13"/>
      <c r="E46" s="13"/>
      <c r="F46" s="13"/>
      <c r="G46" s="13"/>
      <c r="H46" s="13"/>
      <c r="I46" s="13"/>
      <c r="J46" s="13"/>
    </row>
    <row r="47" spans="2:10" ht="18">
      <c r="B47" s="13"/>
      <c r="C47" s="13"/>
      <c r="D47" s="13"/>
      <c r="E47" s="13"/>
      <c r="F47" s="13"/>
      <c r="G47" s="13"/>
      <c r="H47" s="13"/>
      <c r="I47" s="13"/>
      <c r="J47" s="13"/>
    </row>
    <row r="48" spans="2:10" ht="18">
      <c r="B48" s="13"/>
      <c r="C48" s="13"/>
      <c r="D48" s="13"/>
      <c r="E48" s="13"/>
      <c r="F48" s="13"/>
      <c r="G48" s="13"/>
      <c r="H48" s="13"/>
      <c r="I48" s="13"/>
      <c r="J48" s="13"/>
    </row>
    <row r="49" spans="2:10" ht="18">
      <c r="B49" s="13"/>
      <c r="C49" s="13"/>
      <c r="D49" s="13"/>
      <c r="E49" s="13"/>
      <c r="F49" s="13"/>
      <c r="G49" s="13"/>
      <c r="H49" s="13"/>
      <c r="I49" s="13"/>
      <c r="J49" s="13"/>
    </row>
    <row r="50" spans="2:10" ht="18">
      <c r="B50" s="13"/>
      <c r="C50" s="13"/>
      <c r="D50" s="13"/>
      <c r="E50" s="13"/>
      <c r="F50" s="13"/>
      <c r="G50" s="13"/>
      <c r="H50" s="13"/>
      <c r="I50" s="13"/>
      <c r="J50" s="13"/>
    </row>
    <row r="51" spans="2:10" ht="18">
      <c r="B51" s="13"/>
      <c r="C51" s="13"/>
      <c r="D51" s="13"/>
      <c r="E51" s="13"/>
      <c r="F51" s="13"/>
      <c r="G51" s="13"/>
      <c r="H51" s="13"/>
      <c r="I51" s="13"/>
      <c r="J51" s="13"/>
    </row>
    <row r="52" spans="2:10" ht="18">
      <c r="B52" s="13"/>
      <c r="C52" s="13"/>
      <c r="D52" s="13"/>
      <c r="E52" s="13"/>
      <c r="F52" s="13"/>
      <c r="G52" s="13"/>
      <c r="H52" s="13"/>
      <c r="I52" s="13"/>
      <c r="J52" s="13"/>
    </row>
    <row r="53" spans="2:10" ht="18">
      <c r="B53" s="13"/>
      <c r="C53" s="13"/>
      <c r="D53" s="13"/>
      <c r="E53" s="13"/>
      <c r="F53" s="13"/>
      <c r="G53" s="13"/>
      <c r="H53" s="13"/>
      <c r="I53" s="13"/>
      <c r="J53" s="13"/>
    </row>
    <row r="54" spans="2:10" ht="18">
      <c r="B54" s="13"/>
      <c r="C54" s="13"/>
      <c r="D54" s="13"/>
      <c r="E54" s="13"/>
      <c r="F54" s="13"/>
      <c r="G54" s="13"/>
      <c r="H54" s="13"/>
      <c r="I54" s="13"/>
      <c r="J54" s="13"/>
    </row>
    <row r="55" spans="2:10" ht="18">
      <c r="B55" s="13"/>
      <c r="C55" s="13"/>
      <c r="D55" s="13"/>
      <c r="E55" s="13"/>
      <c r="F55" s="13"/>
      <c r="G55" s="13"/>
      <c r="H55" s="13"/>
      <c r="I55" s="13"/>
      <c r="J55" s="13"/>
    </row>
    <row r="56" spans="2:10" ht="18">
      <c r="B56" s="13"/>
      <c r="C56" s="13"/>
      <c r="D56" s="13"/>
      <c r="E56" s="13"/>
      <c r="F56" s="13"/>
      <c r="G56" s="13"/>
      <c r="H56" s="13"/>
      <c r="I56" s="13"/>
      <c r="J56" s="13"/>
    </row>
    <row r="57" spans="2:10" ht="18">
      <c r="B57" s="13"/>
      <c r="C57" s="13"/>
      <c r="D57" s="13"/>
      <c r="E57" s="13"/>
      <c r="F57" s="13"/>
      <c r="G57" s="13"/>
      <c r="H57" s="13"/>
      <c r="I57" s="13"/>
      <c r="J57" s="13"/>
    </row>
    <row r="58" spans="2:10" ht="18">
      <c r="B58" s="13"/>
      <c r="C58" s="13"/>
      <c r="D58" s="13"/>
      <c r="E58" s="13"/>
      <c r="F58" s="13"/>
      <c r="G58" s="13"/>
      <c r="H58" s="13"/>
      <c r="I58" s="13"/>
      <c r="J58" s="13"/>
    </row>
    <row r="59" spans="2:10" ht="18">
      <c r="B59" s="13"/>
      <c r="C59" s="13"/>
      <c r="D59" s="13"/>
      <c r="E59" s="13"/>
      <c r="F59" s="13"/>
      <c r="G59" s="13"/>
      <c r="H59" s="13"/>
      <c r="I59" s="13"/>
      <c r="J59" s="13"/>
    </row>
    <row r="60" spans="2:10" ht="18">
      <c r="B60" s="13"/>
      <c r="C60" s="13"/>
      <c r="D60" s="13"/>
      <c r="E60" s="13"/>
      <c r="F60" s="13"/>
      <c r="G60" s="13"/>
      <c r="H60" s="13"/>
      <c r="I60" s="13"/>
      <c r="J60" s="13"/>
    </row>
    <row r="61" spans="2:10" ht="18">
      <c r="B61" s="13"/>
      <c r="C61" s="13"/>
      <c r="D61" s="13"/>
      <c r="E61" s="13"/>
      <c r="F61" s="13"/>
      <c r="G61" s="13"/>
      <c r="H61" s="13"/>
      <c r="I61" s="13"/>
      <c r="J61" s="13"/>
    </row>
    <row r="62" spans="2:10" ht="18">
      <c r="B62" s="13"/>
      <c r="C62" s="13"/>
      <c r="D62" s="13"/>
      <c r="E62" s="13"/>
      <c r="F62" s="13"/>
      <c r="G62" s="13"/>
      <c r="H62" s="13"/>
      <c r="I62" s="13"/>
      <c r="J62" s="13"/>
    </row>
    <row r="63" spans="2:10" ht="18">
      <c r="B63" s="13"/>
      <c r="C63" s="13"/>
      <c r="D63" s="13"/>
      <c r="E63" s="13"/>
      <c r="F63" s="13"/>
      <c r="G63" s="13"/>
      <c r="H63" s="13"/>
      <c r="I63" s="13"/>
      <c r="J63" s="13"/>
    </row>
    <row r="64" spans="2:10" ht="18">
      <c r="B64" s="13"/>
      <c r="C64" s="13"/>
      <c r="D64" s="13"/>
      <c r="E64" s="13"/>
      <c r="F64" s="13"/>
      <c r="G64" s="13"/>
      <c r="H64" s="13"/>
      <c r="I64" s="13"/>
      <c r="J64" s="13"/>
    </row>
    <row r="65" spans="2:10" ht="18">
      <c r="B65" s="13"/>
      <c r="C65" s="13"/>
      <c r="D65" s="13"/>
      <c r="E65" s="13"/>
      <c r="F65" s="13"/>
      <c r="G65" s="13"/>
      <c r="H65" s="13"/>
      <c r="I65" s="13"/>
      <c r="J65" s="13"/>
    </row>
    <row r="66" spans="2:10" ht="18">
      <c r="B66" s="13"/>
      <c r="C66" s="13"/>
      <c r="D66" s="13"/>
      <c r="E66" s="13"/>
      <c r="F66" s="13"/>
      <c r="G66" s="13"/>
      <c r="H66" s="13"/>
      <c r="I66" s="13"/>
      <c r="J66" s="13"/>
    </row>
    <row r="67" spans="2:10" ht="18">
      <c r="B67" s="13"/>
      <c r="C67" s="13"/>
      <c r="D67" s="13"/>
      <c r="E67" s="13"/>
      <c r="F67" s="13"/>
      <c r="G67" s="13"/>
      <c r="H67" s="13"/>
      <c r="I67" s="13"/>
      <c r="J67" s="13"/>
    </row>
    <row r="68" spans="2:10" ht="18">
      <c r="B68" s="13"/>
      <c r="C68" s="13"/>
      <c r="D68" s="13"/>
      <c r="E68" s="13"/>
      <c r="F68" s="13"/>
      <c r="G68" s="13"/>
      <c r="H68" s="13"/>
      <c r="I68" s="13"/>
      <c r="J68" s="13"/>
    </row>
    <row r="69" spans="2:10" ht="18">
      <c r="B69" s="13"/>
      <c r="C69" s="13"/>
      <c r="D69" s="13"/>
      <c r="E69" s="13"/>
      <c r="F69" s="13"/>
      <c r="G69" s="13"/>
      <c r="H69" s="13"/>
      <c r="I69" s="13"/>
      <c r="J69" s="13"/>
    </row>
    <row r="70" spans="2:10" ht="18">
      <c r="B70" s="13"/>
      <c r="C70" s="13"/>
      <c r="D70" s="13"/>
      <c r="E70" s="13"/>
      <c r="F70" s="13"/>
      <c r="G70" s="13"/>
      <c r="H70" s="13"/>
      <c r="I70" s="13"/>
      <c r="J70" s="13"/>
    </row>
    <row r="71" spans="2:10" ht="18">
      <c r="B71" s="13"/>
      <c r="C71" s="13"/>
      <c r="D71" s="13"/>
      <c r="E71" s="13"/>
      <c r="F71" s="13"/>
      <c r="G71" s="13"/>
      <c r="H71" s="13"/>
      <c r="I71" s="13"/>
      <c r="J71" s="13"/>
    </row>
    <row r="72" spans="2:10" ht="18">
      <c r="B72" s="13"/>
      <c r="C72" s="13"/>
      <c r="D72" s="13"/>
      <c r="E72" s="13"/>
      <c r="F72" s="13"/>
      <c r="G72" s="13"/>
      <c r="H72" s="13"/>
      <c r="I72" s="13"/>
      <c r="J72" s="13"/>
    </row>
    <row r="73" spans="2:10" ht="18">
      <c r="B73" s="13"/>
      <c r="C73" s="13"/>
      <c r="D73" s="13"/>
      <c r="E73" s="13"/>
      <c r="F73" s="13"/>
      <c r="G73" s="13"/>
      <c r="H73" s="13"/>
      <c r="I73" s="13"/>
      <c r="J73" s="13"/>
    </row>
    <row r="74" spans="2:10" ht="18">
      <c r="B74" s="13"/>
      <c r="C74" s="13"/>
      <c r="D74" s="13"/>
      <c r="E74" s="13"/>
      <c r="F74" s="13"/>
      <c r="G74" s="13"/>
      <c r="H74" s="13"/>
      <c r="I74" s="13"/>
      <c r="J74" s="13"/>
    </row>
    <row r="75" spans="2:10" ht="18">
      <c r="B75" s="13"/>
      <c r="C75" s="13"/>
      <c r="D75" s="13"/>
      <c r="E75" s="13"/>
      <c r="F75" s="13"/>
      <c r="G75" s="13"/>
      <c r="H75" s="13"/>
      <c r="I75" s="13"/>
      <c r="J75" s="13"/>
    </row>
    <row r="76" spans="2:10" ht="18">
      <c r="B76" s="13"/>
      <c r="C76" s="13"/>
      <c r="D76" s="13"/>
      <c r="E76" s="13"/>
      <c r="F76" s="13"/>
      <c r="G76" s="13"/>
      <c r="H76" s="13"/>
      <c r="I76" s="13"/>
      <c r="J76" s="13"/>
    </row>
    <row r="77" spans="2:10" ht="18">
      <c r="B77" s="13"/>
      <c r="C77" s="13"/>
      <c r="D77" s="13"/>
      <c r="E77" s="13"/>
      <c r="F77" s="13"/>
      <c r="G77" s="13"/>
      <c r="H77" s="13"/>
      <c r="I77" s="13"/>
      <c r="J77" s="13"/>
    </row>
    <row r="78" spans="2:10" ht="18">
      <c r="B78" s="13"/>
      <c r="C78" s="13"/>
      <c r="D78" s="13"/>
      <c r="E78" s="13"/>
      <c r="F78" s="13"/>
      <c r="G78" s="13"/>
      <c r="H78" s="13"/>
      <c r="I78" s="13"/>
      <c r="J78" s="13"/>
    </row>
    <row r="79" spans="2:10" ht="18">
      <c r="B79" s="13"/>
      <c r="C79" s="13"/>
      <c r="D79" s="13"/>
      <c r="E79" s="13"/>
      <c r="F79" s="13"/>
      <c r="G79" s="13"/>
      <c r="H79" s="13"/>
      <c r="I79" s="13"/>
      <c r="J79" s="13"/>
    </row>
    <row r="80" spans="2:10" ht="18">
      <c r="B80" s="13"/>
      <c r="C80" s="13"/>
      <c r="D80" s="13"/>
      <c r="E80" s="13"/>
      <c r="F80" s="13"/>
      <c r="G80" s="13"/>
      <c r="H80" s="13"/>
      <c r="I80" s="13"/>
      <c r="J80" s="13"/>
    </row>
    <row r="81" spans="2:10" ht="18">
      <c r="B81" s="13"/>
      <c r="C81" s="13"/>
      <c r="D81" s="13"/>
      <c r="E81" s="13"/>
      <c r="F81" s="13"/>
      <c r="G81" s="13"/>
      <c r="H81" s="13"/>
      <c r="I81" s="13"/>
      <c r="J81" s="13"/>
    </row>
    <row r="82" spans="2:10" ht="18">
      <c r="B82" s="13"/>
      <c r="C82" s="13"/>
      <c r="D82" s="13"/>
      <c r="E82" s="13"/>
      <c r="F82" s="13"/>
      <c r="G82" s="13"/>
      <c r="H82" s="13"/>
      <c r="I82" s="13"/>
      <c r="J82" s="13"/>
    </row>
    <row r="83" spans="2:10" ht="18">
      <c r="B83" s="13"/>
      <c r="C83" s="13"/>
      <c r="D83" s="13"/>
      <c r="E83" s="13"/>
      <c r="F83" s="13"/>
      <c r="G83" s="13"/>
      <c r="H83" s="13"/>
      <c r="I83" s="13"/>
      <c r="J83" s="13"/>
    </row>
    <row r="84" spans="2:10" ht="18">
      <c r="B84" s="13"/>
      <c r="C84" s="13"/>
      <c r="D84" s="13"/>
      <c r="E84" s="13"/>
      <c r="F84" s="13"/>
      <c r="G84" s="13"/>
      <c r="H84" s="13"/>
      <c r="I84" s="13"/>
      <c r="J84" s="13"/>
    </row>
    <row r="85" spans="2:10" ht="18">
      <c r="B85" s="13"/>
      <c r="C85" s="13"/>
      <c r="D85" s="13"/>
      <c r="E85" s="13"/>
      <c r="F85" s="13"/>
      <c r="G85" s="13"/>
      <c r="H85" s="13"/>
      <c r="I85" s="13"/>
      <c r="J85" s="13"/>
    </row>
    <row r="86" spans="2:10" ht="18">
      <c r="B86" s="13"/>
      <c r="C86" s="13"/>
      <c r="D86" s="13"/>
      <c r="E86" s="13"/>
      <c r="F86" s="13"/>
      <c r="G86" s="13"/>
      <c r="H86" s="13"/>
      <c r="I86" s="13"/>
      <c r="J86" s="13"/>
    </row>
    <row r="87" spans="2:10" ht="18">
      <c r="B87" s="13"/>
      <c r="C87" s="13"/>
      <c r="D87" s="13"/>
      <c r="E87" s="13"/>
      <c r="F87" s="13"/>
      <c r="G87" s="13"/>
      <c r="H87" s="13"/>
      <c r="I87" s="13"/>
      <c r="J87" s="13"/>
    </row>
    <row r="88" spans="2:10" ht="18">
      <c r="B88" s="13"/>
      <c r="C88" s="13"/>
      <c r="D88" s="13"/>
      <c r="E88" s="13"/>
      <c r="F88" s="13"/>
      <c r="G88" s="13"/>
      <c r="H88" s="13"/>
      <c r="I88" s="13"/>
      <c r="J88" s="13"/>
    </row>
    <row r="89" spans="2:10" ht="18">
      <c r="B89" s="13"/>
      <c r="C89" s="13"/>
      <c r="D89" s="13"/>
      <c r="E89" s="13"/>
      <c r="F89" s="13"/>
      <c r="G89" s="13"/>
      <c r="H89" s="13"/>
      <c r="I89" s="13"/>
      <c r="J89" s="13"/>
    </row>
    <row r="90" spans="2:10" ht="18">
      <c r="B90" s="13"/>
      <c r="C90" s="13"/>
      <c r="D90" s="13"/>
      <c r="E90" s="13"/>
      <c r="F90" s="13"/>
      <c r="G90" s="13"/>
      <c r="H90" s="13"/>
      <c r="I90" s="13"/>
      <c r="J90" s="13"/>
    </row>
    <row r="91" spans="2:10" ht="18">
      <c r="B91" s="13"/>
      <c r="C91" s="13"/>
      <c r="D91" s="13"/>
      <c r="E91" s="13"/>
      <c r="F91" s="13"/>
      <c r="G91" s="13"/>
      <c r="H91" s="13"/>
      <c r="I91" s="13"/>
      <c r="J91" s="13"/>
    </row>
    <row r="92" spans="2:10" ht="18">
      <c r="B92" s="13"/>
      <c r="C92" s="13"/>
      <c r="D92" s="13"/>
      <c r="E92" s="13"/>
      <c r="F92" s="13"/>
      <c r="G92" s="13"/>
      <c r="H92" s="13"/>
      <c r="I92" s="13"/>
      <c r="J92" s="13"/>
    </row>
    <row r="93" spans="2:10" ht="18">
      <c r="B93" s="13"/>
      <c r="C93" s="13"/>
      <c r="D93" s="13"/>
      <c r="E93" s="13"/>
      <c r="F93" s="13"/>
      <c r="G93" s="13"/>
      <c r="H93" s="13"/>
      <c r="I93" s="13"/>
      <c r="J93" s="13"/>
    </row>
    <row r="94" spans="2:10" ht="18">
      <c r="B94" s="13"/>
      <c r="C94" s="13"/>
      <c r="D94" s="13"/>
      <c r="E94" s="13"/>
      <c r="F94" s="13"/>
      <c r="G94" s="13"/>
      <c r="H94" s="13"/>
      <c r="I94" s="13"/>
      <c r="J94" s="13"/>
    </row>
    <row r="95" spans="2:10" ht="18">
      <c r="B95" s="13"/>
      <c r="C95" s="13"/>
      <c r="D95" s="13"/>
      <c r="E95" s="13"/>
      <c r="F95" s="13"/>
      <c r="G95" s="13"/>
      <c r="H95" s="13"/>
      <c r="I95" s="13"/>
      <c r="J95" s="13"/>
    </row>
    <row r="96" spans="2:10" ht="18">
      <c r="B96" s="13"/>
      <c r="C96" s="13"/>
      <c r="D96" s="13"/>
      <c r="E96" s="13"/>
      <c r="F96" s="13"/>
      <c r="G96" s="13"/>
      <c r="H96" s="13"/>
      <c r="I96" s="13"/>
      <c r="J96" s="13"/>
    </row>
    <row r="97" spans="2:10" ht="18">
      <c r="B97" s="13"/>
      <c r="C97" s="13"/>
      <c r="D97" s="13"/>
      <c r="E97" s="13"/>
      <c r="F97" s="13"/>
      <c r="G97" s="13"/>
      <c r="H97" s="13"/>
      <c r="I97" s="13"/>
      <c r="J97" s="13"/>
    </row>
    <row r="98" spans="2:10" ht="18">
      <c r="B98" s="13"/>
      <c r="C98" s="13"/>
      <c r="D98" s="13"/>
      <c r="E98" s="13"/>
      <c r="F98" s="13"/>
      <c r="G98" s="13"/>
      <c r="H98" s="13"/>
      <c r="I98" s="13"/>
      <c r="J98" s="13"/>
    </row>
    <row r="99" spans="2:10" ht="18">
      <c r="B99" s="13"/>
      <c r="C99" s="13"/>
      <c r="D99" s="13"/>
      <c r="E99" s="13"/>
      <c r="F99" s="13"/>
      <c r="G99" s="13"/>
      <c r="H99" s="13"/>
      <c r="I99" s="13"/>
      <c r="J99" s="13"/>
    </row>
    <row r="100" spans="2:10" ht="18">
      <c r="B100" s="13"/>
      <c r="C100" s="13"/>
      <c r="D100" s="13"/>
      <c r="E100" s="13"/>
      <c r="F100" s="13"/>
      <c r="G100" s="13"/>
      <c r="H100" s="13"/>
      <c r="I100" s="13"/>
      <c r="J100" s="13"/>
    </row>
    <row r="101" spans="2:10" ht="18">
      <c r="B101" s="13"/>
      <c r="C101" s="13"/>
      <c r="D101" s="13"/>
      <c r="E101" s="13"/>
      <c r="F101" s="13"/>
      <c r="G101" s="13"/>
      <c r="H101" s="13"/>
      <c r="I101" s="13"/>
      <c r="J101" s="13"/>
    </row>
    <row r="102" spans="2:10" ht="18">
      <c r="B102" s="13"/>
      <c r="C102" s="13"/>
      <c r="D102" s="13"/>
      <c r="E102" s="13"/>
      <c r="F102" s="13"/>
      <c r="G102" s="13"/>
      <c r="H102" s="13"/>
      <c r="I102" s="13"/>
      <c r="J102" s="13"/>
    </row>
    <row r="103" spans="2:10" ht="18">
      <c r="B103" s="13"/>
      <c r="C103" s="13"/>
      <c r="D103" s="13"/>
      <c r="E103" s="13"/>
      <c r="F103" s="13"/>
      <c r="G103" s="13"/>
      <c r="H103" s="13"/>
      <c r="I103" s="13"/>
      <c r="J103" s="13"/>
    </row>
    <row r="104" spans="2:10" ht="18">
      <c r="B104" s="13"/>
      <c r="C104" s="13"/>
      <c r="D104" s="13"/>
      <c r="E104" s="13"/>
      <c r="F104" s="13"/>
      <c r="G104" s="13"/>
      <c r="H104" s="13"/>
      <c r="I104" s="13"/>
      <c r="J104" s="13"/>
    </row>
    <row r="105" spans="2:10" ht="18">
      <c r="B105" s="13"/>
      <c r="C105" s="13"/>
      <c r="D105" s="13"/>
      <c r="E105" s="13"/>
      <c r="F105" s="13"/>
      <c r="G105" s="13"/>
      <c r="H105" s="13"/>
      <c r="I105" s="13"/>
      <c r="J105" s="13"/>
    </row>
    <row r="106" spans="2:10" ht="18">
      <c r="B106" s="13"/>
      <c r="C106" s="13"/>
      <c r="D106" s="13"/>
      <c r="E106" s="13"/>
      <c r="F106" s="13"/>
      <c r="G106" s="13"/>
      <c r="H106" s="13"/>
      <c r="I106" s="13"/>
      <c r="J106" s="13"/>
    </row>
    <row r="107" spans="2:10" ht="18">
      <c r="B107" s="13"/>
      <c r="C107" s="13"/>
      <c r="D107" s="13"/>
      <c r="E107" s="13"/>
      <c r="F107" s="13"/>
      <c r="G107" s="13"/>
      <c r="H107" s="13"/>
      <c r="I107" s="13"/>
      <c r="J107" s="13"/>
    </row>
  </sheetData>
  <printOptions horizontalCentered="1"/>
  <pageMargins left="0.35433070866141736" right="0.35433070866141736" top="1.06" bottom="0.3937007874015748" header="0.61" footer="0.11811023622047245"/>
  <pageSetup horizontalDpi="300" verticalDpi="300" orientation="landscape" paperSize="9" scale="85" r:id="rId2"/>
  <headerFooter alignWithMargins="0">
    <oddHeader>&amp;C&amp;"Arial,Bold"&amp;14SUSTAINABLE ENGINEERING MODEL</oddHeader>
    <oddFooter>&amp;R&amp;8&amp;D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 Haigh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Haigh</dc:creator>
  <cp:keywords/>
  <dc:description/>
  <cp:lastModifiedBy>andrew</cp:lastModifiedBy>
  <cp:lastPrinted>2002-08-11T10:45:05Z</cp:lastPrinted>
  <dcterms:created xsi:type="dcterms:W3CDTF">1997-05-17T17:25:37Z</dcterms:created>
  <dcterms:modified xsi:type="dcterms:W3CDTF">2004-03-25T17:06:59Z</dcterms:modified>
  <cp:category/>
  <cp:version/>
  <cp:contentType/>
  <cp:contentStatus/>
</cp:coreProperties>
</file>