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100" windowHeight="5280" activeTab="2"/>
  </bookViews>
  <sheets>
    <sheet name="hydraulic data sheet" sheetId="1" r:id="rId1"/>
    <sheet name="generator datasheet" sheetId="2" r:id="rId2"/>
    <sheet name="calculation sheet" sheetId="3" r:id="rId3"/>
    <sheet name="turbine efficiency curve" sheetId="4" r:id="rId4"/>
  </sheets>
  <definedNames>
    <definedName name="applied_voltage">'turbine efficiency curve'!$J$4</definedName>
    <definedName name="belt_pulley_efficiency">'calculation sheet'!$B$19</definedName>
    <definedName name="boo">'hydraulic data sheet'!#REF!</definedName>
    <definedName name="cable_resistance">'calculation sheet'!$B$20</definedName>
    <definedName name="current_entry_no">'hydraulic data sheet'!$B$15</definedName>
    <definedName name="Dc">'turbine efficiency curve'!$E$4</definedName>
    <definedName name="Dv">'turbine efficiency curve'!$F$4</definedName>
    <definedName name="Dv_gen">'generator datasheet'!$J$26</definedName>
    <definedName name="dynamic_head">'calculation sheet'!$B$13</definedName>
    <definedName name="full_flow_eta">'turbine efficiency curve'!$C$29</definedName>
    <definedName name="hydraulic_power">'calculation sheet'!$B$33</definedName>
    <definedName name="input_power">#REF!</definedName>
    <definedName name="Ke">'turbine efficiency curve'!$C$4</definedName>
    <definedName name="Ke_gen">'generator datasheet'!$H$26</definedName>
    <definedName name="Kt">'turbine efficiency curve'!$D$4</definedName>
    <definedName name="Kt_gen">'generator datasheet'!$I$26</definedName>
    <definedName name="max_Im">'turbine efficiency curve'!$J$6</definedName>
    <definedName name="max_ω">#REF!</definedName>
    <definedName name="Maximizer_efficiency">'calculation sheet'!$B$21</definedName>
    <definedName name="maximum_speed">'calculation sheet'!$B$10</definedName>
    <definedName name="min_Im">'turbine efficiency curve'!$J$5</definedName>
    <definedName name="min_ω">#REF!</definedName>
    <definedName name="minimum_speed">'calculation sheet'!$B$9</definedName>
    <definedName name="MPP_amps">'hydraulic data sheet'!$B$24</definedName>
    <definedName name="MPP_power">'hydraulic data sheet'!$B$21</definedName>
    <definedName name="MPP_rpm">'hydraulic data sheet'!$B$22</definedName>
    <definedName name="MPP_volts">'hydraulic data sheet'!$B$23</definedName>
    <definedName name="pulley_step_up_ratio">'calculation sheet'!$B$18</definedName>
    <definedName name="resistance">'turbine efficiency curve'!$B$4</definedName>
    <definedName name="resistance_gen">'generator datasheet'!$G$26</definedName>
    <definedName name="rotation_const">'calculation sheet'!$B$25</definedName>
    <definedName name="stall_torque">'calculation sheet'!$B$35</definedName>
    <definedName name="static_head">'hydraulic data sheet'!$B$5</definedName>
    <definedName name="total_efficiency_factor">'turbine efficiency curve'!$J$7</definedName>
    <definedName name="visc.friction_coeff">'calculation sheet'!$B$6</definedName>
  </definedNames>
  <calcPr fullCalcOnLoad="1"/>
</workbook>
</file>

<file path=xl/comments1.xml><?xml version="1.0" encoding="utf-8"?>
<comments xmlns="http://schemas.openxmlformats.org/spreadsheetml/2006/main">
  <authors>
    <author>Max</author>
  </authors>
  <commentList>
    <comment ref="K5" authorId="0">
      <text>
        <r>
          <rPr>
            <b/>
            <sz val="9"/>
            <rFont val="Tahoma"/>
            <family val="0"/>
          </rPr>
          <t>includes allowance for DC converter losses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Max</author>
  </authors>
  <commentList>
    <comment ref="A24" authorId="0">
      <text>
        <r>
          <rPr>
            <sz val="8"/>
            <rFont val="Tahoma"/>
            <family val="2"/>
          </rPr>
          <t xml:space="preserve">value is full flow rate/sqrt(head)
</t>
        </r>
      </text>
    </comment>
    <comment ref="A25" authorId="0">
      <text>
        <r>
          <rPr>
            <sz val="8"/>
            <rFont val="Tahoma"/>
            <family val="2"/>
          </rPr>
          <t>value is theoretical frictionless freewheel rotational speed /sqrt(head)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take as 0.068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<sst xmlns="http://schemas.openxmlformats.org/spreadsheetml/2006/main" count="172" uniqueCount="129">
  <si>
    <t>model</t>
  </si>
  <si>
    <t>R</t>
  </si>
  <si>
    <r>
      <t>K</t>
    </r>
    <r>
      <rPr>
        <b/>
        <i/>
        <vertAlign val="subscript"/>
        <sz val="10"/>
        <rFont val="Arial"/>
        <family val="2"/>
      </rPr>
      <t>e</t>
    </r>
  </si>
  <si>
    <r>
      <t>D</t>
    </r>
    <r>
      <rPr>
        <b/>
        <i/>
        <vertAlign val="subscript"/>
        <sz val="10"/>
        <rFont val="Arial"/>
        <family val="2"/>
      </rPr>
      <t>v</t>
    </r>
  </si>
  <si>
    <t>friction</t>
  </si>
  <si>
    <t>resistance</t>
  </si>
  <si>
    <t>torque const</t>
  </si>
  <si>
    <r>
      <t>K</t>
    </r>
    <r>
      <rPr>
        <b/>
        <i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</t>
    </r>
  </si>
  <si>
    <t>bEMF const</t>
  </si>
  <si>
    <r>
      <t>T</t>
    </r>
    <r>
      <rPr>
        <b/>
        <i/>
        <vertAlign val="subscript"/>
        <sz val="9"/>
        <rFont val="Arial"/>
        <family val="2"/>
      </rPr>
      <t>m</t>
    </r>
  </si>
  <si>
    <t>parameters</t>
  </si>
  <si>
    <t>efficiency</t>
  </si>
  <si>
    <t xml:space="preserve"> </t>
  </si>
  <si>
    <r>
      <t>D</t>
    </r>
    <r>
      <rPr>
        <b/>
        <i/>
        <vertAlign val="subscript"/>
        <sz val="10"/>
        <rFont val="Arial"/>
        <family val="2"/>
      </rPr>
      <t>c</t>
    </r>
  </si>
  <si>
    <t>Coulomb</t>
  </si>
  <si>
    <t>viscous</t>
  </si>
  <si>
    <t>flow fraction</t>
  </si>
  <si>
    <t>turbine parameters</t>
  </si>
  <si>
    <t>width (mm)</t>
  </si>
  <si>
    <t>diameter (mm)</t>
  </si>
  <si>
    <t>turbine constants</t>
  </si>
  <si>
    <t>flow rate const (l/sec/m^0.5)</t>
  </si>
  <si>
    <t>rotation const (rad/sec/m^0.5)</t>
  </si>
  <si>
    <t>hydraulic parameters</t>
  </si>
  <si>
    <t>dynamic head (m)</t>
  </si>
  <si>
    <t>flow rate (l/sec)</t>
  </si>
  <si>
    <t>full flow rate (l/sec)</t>
  </si>
  <si>
    <t>part flow fraction (ratio)</t>
  </si>
  <si>
    <t>hydraulic power (W)</t>
  </si>
  <si>
    <t>generation/transmission parameters</t>
  </si>
  <si>
    <t>stall torque (Nm)</t>
  </si>
  <si>
    <t>voltage</t>
  </si>
  <si>
    <t>power</t>
  </si>
  <si>
    <t>RPM</t>
  </si>
  <si>
    <r>
      <t>V</t>
    </r>
    <r>
      <rPr>
        <b/>
        <i/>
        <vertAlign val="subscript"/>
        <sz val="10"/>
        <rFont val="Arial"/>
        <family val="2"/>
      </rPr>
      <t>nom</t>
    </r>
  </si>
  <si>
    <t>(kW)</t>
  </si>
  <si>
    <r>
      <t xml:space="preserve"> I</t>
    </r>
    <r>
      <rPr>
        <b/>
        <i/>
        <vertAlign val="subscript"/>
        <sz val="10"/>
        <rFont val="Arial"/>
        <family val="2"/>
      </rPr>
      <t>m</t>
    </r>
  </si>
  <si>
    <t>VP/CDP3320</t>
  </si>
  <si>
    <t>VP/CDP3330</t>
  </si>
  <si>
    <t>VP/CDP3335</t>
  </si>
  <si>
    <t>VP/CDP3440</t>
  </si>
  <si>
    <t>VP/CDP3445</t>
  </si>
  <si>
    <t>VP/CDP3316</t>
  </si>
  <si>
    <t>VP3416</t>
  </si>
  <si>
    <t>VP3426</t>
  </si>
  <si>
    <t>VP/CDP3326</t>
  </si>
  <si>
    <t>VP/CDP3436</t>
  </si>
  <si>
    <t>VP/CDP3455</t>
  </si>
  <si>
    <t>VP/CDP3575</t>
  </si>
  <si>
    <t>VP/CDP3585</t>
  </si>
  <si>
    <t>VP/CDP3603</t>
  </si>
  <si>
    <t>VP/CDP3605</t>
  </si>
  <si>
    <t>system performance variables</t>
  </si>
  <si>
    <t xml:space="preserve">hydraulic </t>
  </si>
  <si>
    <t>max current</t>
  </si>
  <si>
    <t>max torque</t>
  </si>
  <si>
    <t>Baldor DC generator datasheet</t>
  </si>
  <si>
    <t>visc. friction</t>
  </si>
  <si>
    <t>cable resistance (ohm)</t>
  </si>
  <si>
    <t>ω</t>
  </si>
  <si>
    <r>
      <t>T</t>
    </r>
    <r>
      <rPr>
        <b/>
        <i/>
        <vertAlign val="subscript"/>
        <sz val="9"/>
        <rFont val="Arial"/>
        <family val="2"/>
      </rPr>
      <t>g</t>
    </r>
  </si>
  <si>
    <r>
      <t xml:space="preserve"> I</t>
    </r>
    <r>
      <rPr>
        <b/>
        <i/>
        <vertAlign val="subscript"/>
        <sz val="10"/>
        <rFont val="Arial"/>
        <family val="2"/>
      </rPr>
      <t>g</t>
    </r>
  </si>
  <si>
    <r>
      <t>V</t>
    </r>
    <r>
      <rPr>
        <b/>
        <i/>
        <vertAlign val="subscript"/>
        <sz val="10"/>
        <rFont val="Arial"/>
        <family val="2"/>
      </rPr>
      <t>g</t>
    </r>
  </si>
  <si>
    <t>output power</t>
  </si>
  <si>
    <t>max turbine eff. at this flow</t>
  </si>
  <si>
    <t>minimum speed</t>
  </si>
  <si>
    <t>maximum speed</t>
  </si>
  <si>
    <t>speed range</t>
  </si>
  <si>
    <t>(%age)</t>
  </si>
  <si>
    <t>rad/sec</t>
  </si>
  <si>
    <t>(W)</t>
  </si>
  <si>
    <t>generator</t>
  </si>
  <si>
    <t>(Nm)</t>
  </si>
  <si>
    <t>(A)</t>
  </si>
  <si>
    <t>(V)</t>
  </si>
  <si>
    <t>turbine</t>
  </si>
  <si>
    <t>speed</t>
  </si>
  <si>
    <t xml:space="preserve"> (W)</t>
  </si>
  <si>
    <t>speed as %age of absolute freewheel speed</t>
  </si>
  <si>
    <t>transmission &amp; delivery</t>
  </si>
  <si>
    <t>transmission loss</t>
  </si>
  <si>
    <t>delivered power</t>
  </si>
  <si>
    <t>water-to-wire</t>
  </si>
  <si>
    <t>(%)</t>
  </si>
  <si>
    <r>
      <t>W</t>
    </r>
    <r>
      <rPr>
        <b/>
        <i/>
        <vertAlign val="subscript"/>
        <sz val="10"/>
        <rFont val="Arial"/>
        <family val="2"/>
      </rPr>
      <t>g</t>
    </r>
  </si>
  <si>
    <t>visc.friction coeff (Nm/(rad/sec)</t>
  </si>
  <si>
    <t>site parameters</t>
  </si>
  <si>
    <t>static head (m)</t>
  </si>
  <si>
    <t>max flow available (l/sec)</t>
  </si>
  <si>
    <t>pipe diameter (mm)</t>
  </si>
  <si>
    <t>flow rate</t>
  </si>
  <si>
    <t>(l/sec)</t>
  </si>
  <si>
    <t>intake loss</t>
  </si>
  <si>
    <t>(mbar)</t>
  </si>
  <si>
    <t>pipe loss</t>
  </si>
  <si>
    <t>net head</t>
  </si>
  <si>
    <t>(m)</t>
  </si>
  <si>
    <t>turbine speed</t>
  </si>
  <si>
    <t>(RPM)</t>
  </si>
  <si>
    <t>entry</t>
  </si>
  <si>
    <t>no.</t>
  </si>
  <si>
    <t xml:space="preserve">minimum speed </t>
  </si>
  <si>
    <t>maximum power (W)</t>
  </si>
  <si>
    <t>speed (as % of freewheel)</t>
  </si>
  <si>
    <t>calc sheet entry no</t>
  </si>
  <si>
    <t>turbine speed (RPM)</t>
  </si>
  <si>
    <t>arrival volts</t>
  </si>
  <si>
    <t xml:space="preserve"> (V)</t>
  </si>
  <si>
    <t>arrival volts (V)</t>
  </si>
  <si>
    <t>values at current MPP estimate</t>
  </si>
  <si>
    <t>Hydraulic data sheet &amp; simulation control page</t>
  </si>
  <si>
    <t>abs. freewheel speed (rad/sec)</t>
  </si>
  <si>
    <t>min flow fraction as %age of full flow</t>
  </si>
  <si>
    <t>max flow fraction as %age of full flow</t>
  </si>
  <si>
    <t>efficiency constant</t>
  </si>
  <si>
    <t>shape factor</t>
  </si>
  <si>
    <t>nozzle size fraction</t>
  </si>
  <si>
    <t>entry no.</t>
  </si>
  <si>
    <t>coupling step-up ratio</t>
  </si>
  <si>
    <t>coupling efficiency (%age)</t>
  </si>
  <si>
    <t>DC converter efficiency (%age)</t>
  </si>
  <si>
    <t>^      ^      ^       ^            PASTE selected generator above this line                ^     ^      ^      ^</t>
  </si>
  <si>
    <t>Select generator to be evaluated and paste below.  Then go to calculation sheet.</t>
  </si>
  <si>
    <t>speed as %age of abs. freewheel speed</t>
  </si>
  <si>
    <t>hydraulic data points</t>
  </si>
  <si>
    <t>hydraulic data point</t>
  </si>
  <si>
    <t>system output table</t>
  </si>
  <si>
    <t>current (A)</t>
  </si>
  <si>
    <t>current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</si>
</sst>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0000"/>
    <numFmt numFmtId="169" formatCode="0.0"/>
    <numFmt numFmtId="170" formatCode="0.0000"/>
    <numFmt numFmtId="171" formatCode="0.0%"/>
    <numFmt numFmtId="172" formatCode="&quot;$&quot;#,##0.0"/>
    <numFmt numFmtId="173" formatCode="#,##0.0"/>
  </numFmts>
  <fonts count="2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10"/>
      <color indexed="4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  <font>
      <sz val="8"/>
      <name val="Tahoma"/>
      <family val="0"/>
    </font>
    <font>
      <sz val="9"/>
      <name val="Arial"/>
      <family val="2"/>
    </font>
    <font>
      <sz val="10"/>
      <color indexed="43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sz val="8"/>
      <name val="Tahoma"/>
      <family val="0"/>
    </font>
    <font>
      <b/>
      <sz val="10"/>
      <color indexed="17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69" fontId="2" fillId="2" borderId="0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left"/>
    </xf>
    <xf numFmtId="1" fontId="0" fillId="3" borderId="2" xfId="0" applyNumberFormat="1" applyFill="1" applyBorder="1" applyAlignment="1" applyProtection="1">
      <alignment horizontal="left"/>
      <protection locked="0"/>
    </xf>
    <xf numFmtId="0" fontId="0" fillId="3" borderId="0" xfId="0" applyFont="1" applyFill="1" applyBorder="1" applyAlignment="1">
      <alignment horizontal="left"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0" fillId="3" borderId="0" xfId="0" applyFill="1" applyAlignment="1">
      <alignment/>
    </xf>
    <xf numFmtId="169" fontId="0" fillId="0" borderId="0" xfId="0" applyNumberForma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169" fontId="1" fillId="2" borderId="4" xfId="0" applyNumberFormat="1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/>
    </xf>
    <xf numFmtId="170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>
      <alignment horizontal="center"/>
    </xf>
    <xf numFmtId="170" fontId="2" fillId="2" borderId="7" xfId="0" applyNumberFormat="1" applyFont="1" applyFill="1" applyBorder="1" applyAlignment="1">
      <alignment horizontal="center"/>
    </xf>
    <xf numFmtId="167" fontId="0" fillId="4" borderId="0" xfId="0" applyNumberFormat="1" applyFon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70" fontId="0" fillId="5" borderId="7" xfId="0" applyNumberFormat="1" applyFill="1" applyBorder="1" applyAlignment="1">
      <alignment/>
    </xf>
    <xf numFmtId="167" fontId="0" fillId="4" borderId="8" xfId="0" applyNumberFormat="1" applyFont="1" applyFill="1" applyBorder="1" applyAlignment="1">
      <alignment horizontal="center"/>
    </xf>
    <xf numFmtId="167" fontId="0" fillId="4" borderId="8" xfId="0" applyNumberFormat="1" applyFill="1" applyBorder="1" applyAlignment="1">
      <alignment horizontal="center"/>
    </xf>
    <xf numFmtId="170" fontId="0" fillId="5" borderId="9" xfId="0" applyNumberFormat="1" applyFill="1" applyBorder="1" applyAlignment="1">
      <alignment/>
    </xf>
    <xf numFmtId="171" fontId="0" fillId="3" borderId="0" xfId="0" applyNumberFormat="1" applyFill="1" applyBorder="1" applyAlignment="1" applyProtection="1">
      <alignment horizontal="left"/>
      <protection locked="0"/>
    </xf>
    <xf numFmtId="1" fontId="0" fillId="0" borderId="0" xfId="0" applyNumberFormat="1" applyAlignment="1">
      <alignment/>
    </xf>
    <xf numFmtId="167" fontId="0" fillId="0" borderId="0" xfId="0" applyNumberFormat="1" applyFill="1" applyBorder="1" applyAlignment="1" applyProtection="1">
      <alignment horizontal="left"/>
      <protection locked="0"/>
    </xf>
    <xf numFmtId="2" fontId="0" fillId="3" borderId="2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left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169" fontId="0" fillId="3" borderId="0" xfId="0" applyNumberFormat="1" applyFill="1" applyBorder="1" applyAlignment="1" applyProtection="1">
      <alignment horizontal="left"/>
      <protection locked="0"/>
    </xf>
    <xf numFmtId="171" fontId="0" fillId="4" borderId="0" xfId="0" applyNumberForma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 horizontal="left"/>
      <protection/>
    </xf>
    <xf numFmtId="169" fontId="0" fillId="4" borderId="2" xfId="0" applyNumberFormat="1" applyFill="1" applyBorder="1" applyAlignment="1" applyProtection="1">
      <alignment horizontal="left"/>
      <protection/>
    </xf>
    <xf numFmtId="0" fontId="0" fillId="6" borderId="1" xfId="0" applyFont="1" applyFill="1" applyBorder="1" applyAlignment="1">
      <alignment horizontal="left"/>
    </xf>
    <xf numFmtId="1" fontId="0" fillId="6" borderId="2" xfId="0" applyNumberFormat="1" applyFill="1" applyBorder="1" applyAlignment="1" applyProtection="1">
      <alignment horizontal="left"/>
      <protection locked="0"/>
    </xf>
    <xf numFmtId="10" fontId="0" fillId="6" borderId="0" xfId="0" applyNumberFormat="1" applyFill="1" applyBorder="1" applyAlignment="1" applyProtection="1">
      <alignment horizontal="left"/>
      <protection locked="0"/>
    </xf>
    <xf numFmtId="0" fontId="0" fillId="6" borderId="0" xfId="0" applyFill="1" applyAlignment="1">
      <alignment/>
    </xf>
    <xf numFmtId="0" fontId="0" fillId="7" borderId="10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6" fillId="8" borderId="11" xfId="0" applyFont="1" applyFill="1" applyBorder="1" applyAlignment="1">
      <alignment horizontal="center"/>
    </xf>
    <xf numFmtId="1" fontId="0" fillId="3" borderId="0" xfId="0" applyNumberFormat="1" applyFill="1" applyBorder="1" applyAlignment="1" applyProtection="1">
      <alignment horizontal="center"/>
      <protection locked="0"/>
    </xf>
    <xf numFmtId="2" fontId="0" fillId="4" borderId="12" xfId="0" applyNumberFormat="1" applyFill="1" applyBorder="1" applyAlignment="1">
      <alignment horizontal="center"/>
    </xf>
    <xf numFmtId="0" fontId="16" fillId="8" borderId="13" xfId="0" applyFont="1" applyFill="1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2" fontId="0" fillId="4" borderId="15" xfId="0" applyNumberFormat="1" applyFill="1" applyBorder="1" applyAlignment="1">
      <alignment horizontal="center"/>
    </xf>
    <xf numFmtId="1" fontId="0" fillId="6" borderId="11" xfId="0" applyNumberFormat="1" applyFill="1" applyBorder="1" applyAlignment="1">
      <alignment/>
    </xf>
    <xf numFmtId="1" fontId="0" fillId="6" borderId="0" xfId="0" applyNumberFormat="1" applyFill="1" applyBorder="1" applyAlignment="1">
      <alignment/>
    </xf>
    <xf numFmtId="167" fontId="0" fillId="4" borderId="0" xfId="0" applyNumberFormat="1" applyFont="1" applyFill="1" applyBorder="1" applyAlignment="1" applyProtection="1">
      <alignment horizontal="center"/>
      <protection locked="0"/>
    </xf>
    <xf numFmtId="167" fontId="0" fillId="4" borderId="0" xfId="0" applyNumberFormat="1" applyFill="1" applyBorder="1" applyAlignment="1" applyProtection="1">
      <alignment horizontal="center"/>
      <protection locked="0"/>
    </xf>
    <xf numFmtId="170" fontId="0" fillId="5" borderId="7" xfId="0" applyNumberFormat="1" applyFill="1" applyBorder="1" applyAlignment="1" applyProtection="1">
      <alignment/>
      <protection locked="0"/>
    </xf>
    <xf numFmtId="0" fontId="0" fillId="4" borderId="6" xfId="0" applyFont="1" applyFill="1" applyBorder="1" applyAlignment="1">
      <alignment/>
    </xf>
    <xf numFmtId="1" fontId="0" fillId="4" borderId="0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169" fontId="0" fillId="4" borderId="0" xfId="0" applyNumberFormat="1" applyFont="1" applyFill="1" applyBorder="1" applyAlignment="1">
      <alignment horizontal="center"/>
    </xf>
    <xf numFmtId="2" fontId="11" fillId="4" borderId="0" xfId="0" applyNumberFormat="1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0" fontId="0" fillId="4" borderId="8" xfId="0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169" fontId="0" fillId="4" borderId="8" xfId="0" applyNumberFormat="1" applyFill="1" applyBorder="1" applyAlignment="1">
      <alignment horizontal="center"/>
    </xf>
    <xf numFmtId="0" fontId="0" fillId="4" borderId="6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 horizontal="center"/>
      <protection locked="0"/>
    </xf>
    <xf numFmtId="2" fontId="0" fillId="4" borderId="0" xfId="0" applyNumberFormat="1" applyFill="1" applyBorder="1" applyAlignment="1" applyProtection="1">
      <alignment horizontal="center"/>
      <protection locked="0"/>
    </xf>
    <xf numFmtId="169" fontId="0" fillId="4" borderId="0" xfId="0" applyNumberFormat="1" applyFill="1" applyBorder="1" applyAlignment="1" applyProtection="1">
      <alignment horizontal="center"/>
      <protection locked="0"/>
    </xf>
    <xf numFmtId="169" fontId="0" fillId="9" borderId="0" xfId="0" applyNumberFormat="1" applyFill="1" applyAlignment="1" applyProtection="1">
      <alignment horizontal="center"/>
      <protection/>
    </xf>
    <xf numFmtId="2" fontId="0" fillId="9" borderId="0" xfId="0" applyNumberFormat="1" applyFill="1" applyAlignment="1" applyProtection="1">
      <alignment horizontal="center"/>
      <protection/>
    </xf>
    <xf numFmtId="171" fontId="0" fillId="4" borderId="0" xfId="0" applyNumberFormat="1" applyFill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2" borderId="17" xfId="0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0" fillId="3" borderId="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1" fontId="2" fillId="2" borderId="0" xfId="0" applyNumberFormat="1" applyFont="1" applyFill="1" applyAlignment="1" applyProtection="1">
      <alignment horizontal="center"/>
      <protection/>
    </xf>
    <xf numFmtId="2" fontId="4" fillId="2" borderId="0" xfId="0" applyNumberFormat="1" applyFont="1" applyFill="1" applyBorder="1" applyAlignment="1" applyProtection="1">
      <alignment horizontal="center"/>
      <protection/>
    </xf>
    <xf numFmtId="169" fontId="2" fillId="2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left"/>
      <protection/>
    </xf>
    <xf numFmtId="1" fontId="0" fillId="2" borderId="0" xfId="0" applyNumberFormat="1" applyFill="1" applyAlignment="1" applyProtection="1">
      <alignment horizontal="center"/>
      <protection/>
    </xf>
    <xf numFmtId="169" fontId="0" fillId="4" borderId="0" xfId="0" applyNumberFormat="1" applyFill="1" applyAlignment="1" applyProtection="1">
      <alignment horizontal="center"/>
      <protection/>
    </xf>
    <xf numFmtId="1" fontId="0" fillId="4" borderId="0" xfId="0" applyNumberFormat="1" applyFill="1" applyAlignment="1" applyProtection="1">
      <alignment horizontal="center"/>
      <protection/>
    </xf>
    <xf numFmtId="169" fontId="0" fillId="4" borderId="0" xfId="0" applyNumberFormat="1" applyFill="1" applyAlignment="1" applyProtection="1">
      <alignment/>
      <protection/>
    </xf>
    <xf numFmtId="1" fontId="0" fillId="4" borderId="0" xfId="0" applyNumberFormat="1" applyFill="1" applyAlignment="1" applyProtection="1">
      <alignment/>
      <protection/>
    </xf>
    <xf numFmtId="2" fontId="0" fillId="4" borderId="0" xfId="0" applyNumberFormat="1" applyFill="1" applyAlignment="1" applyProtection="1">
      <alignment/>
      <protection/>
    </xf>
    <xf numFmtId="173" fontId="0" fillId="4" borderId="0" xfId="0" applyNumberFormat="1" applyFill="1" applyAlignment="1" applyProtection="1">
      <alignment/>
      <protection/>
    </xf>
    <xf numFmtId="173" fontId="0" fillId="9" borderId="0" xfId="0" applyNumberFormat="1" applyFill="1" applyAlignment="1" applyProtection="1">
      <alignment/>
      <protection/>
    </xf>
    <xf numFmtId="9" fontId="0" fillId="4" borderId="0" xfId="0" applyNumberFormat="1" applyFill="1" applyAlignment="1" applyProtection="1">
      <alignment/>
      <protection/>
    </xf>
    <xf numFmtId="171" fontId="0" fillId="4" borderId="0" xfId="0" applyNumberFormat="1" applyFill="1" applyAlignment="1" applyProtection="1">
      <alignment/>
      <protection/>
    </xf>
    <xf numFmtId="0" fontId="0" fillId="4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4" borderId="1" xfId="0" applyFont="1" applyFill="1" applyBorder="1" applyAlignment="1" applyProtection="1">
      <alignment horizontal="left"/>
      <protection/>
    </xf>
    <xf numFmtId="0" fontId="0" fillId="3" borderId="0" xfId="0" applyFill="1" applyAlignment="1" applyProtection="1">
      <alignment horizontal="left"/>
      <protection/>
    </xf>
    <xf numFmtId="0" fontId="0" fillId="3" borderId="0" xfId="0" applyFill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0" fillId="9" borderId="0" xfId="0" applyFill="1" applyAlignment="1" applyProtection="1">
      <alignment horizontal="left"/>
      <protection/>
    </xf>
    <xf numFmtId="0" fontId="0" fillId="4" borderId="0" xfId="0" applyFill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2" fontId="0" fillId="2" borderId="0" xfId="0" applyNumberFormat="1" applyFill="1" applyBorder="1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/>
    </xf>
    <xf numFmtId="170" fontId="1" fillId="2" borderId="0" xfId="0" applyNumberFormat="1" applyFont="1" applyFill="1" applyAlignment="1" applyProtection="1">
      <alignment horizontal="center"/>
      <protection/>
    </xf>
    <xf numFmtId="2" fontId="1" fillId="2" borderId="0" xfId="0" applyNumberFormat="1" applyFont="1" applyFill="1" applyAlignment="1" applyProtection="1">
      <alignment horizontal="center"/>
      <protection/>
    </xf>
    <xf numFmtId="167" fontId="1" fillId="2" borderId="0" xfId="0" applyNumberFormat="1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2" fontId="2" fillId="2" borderId="0" xfId="0" applyNumberFormat="1" applyFont="1" applyFill="1" applyAlignment="1" applyProtection="1">
      <alignment horizontal="center"/>
      <protection/>
    </xf>
    <xf numFmtId="167" fontId="2" fillId="2" borderId="0" xfId="0" applyNumberFormat="1" applyFont="1" applyFill="1" applyAlignment="1" applyProtection="1">
      <alignment horizontal="center"/>
      <protection/>
    </xf>
    <xf numFmtId="170" fontId="2" fillId="2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0" fillId="3" borderId="19" xfId="0" applyFont="1" applyFill="1" applyBorder="1" applyAlignment="1" applyProtection="1">
      <alignment/>
      <protection/>
    </xf>
    <xf numFmtId="171" fontId="0" fillId="5" borderId="0" xfId="0" applyNumberFormat="1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3" borderId="0" xfId="0" applyNumberFormat="1" applyFont="1" applyFill="1" applyAlignment="1" applyProtection="1">
      <alignment horizontal="center"/>
      <protection locked="0"/>
    </xf>
    <xf numFmtId="167" fontId="0" fillId="3" borderId="0" xfId="0" applyNumberFormat="1" applyFont="1" applyFill="1" applyAlignment="1" applyProtection="1">
      <alignment horizontal="center"/>
      <protection locked="0"/>
    </xf>
    <xf numFmtId="167" fontId="0" fillId="3" borderId="0" xfId="0" applyNumberFormat="1" applyFill="1" applyAlignment="1" applyProtection="1">
      <alignment horizontal="center"/>
      <protection locked="0"/>
    </xf>
    <xf numFmtId="170" fontId="0" fillId="3" borderId="0" xfId="0" applyNumberFormat="1" applyFill="1" applyAlignment="1" applyProtection="1">
      <alignment horizontal="center"/>
      <protection locked="0"/>
    </xf>
    <xf numFmtId="170" fontId="0" fillId="3" borderId="0" xfId="0" applyNumberFormat="1" applyFill="1" applyBorder="1" applyAlignment="1" applyProtection="1">
      <alignment/>
      <protection locked="0"/>
    </xf>
    <xf numFmtId="169" fontId="0" fillId="3" borderId="2" xfId="0" applyNumberFormat="1" applyFill="1" applyBorder="1" applyAlignment="1" applyProtection="1">
      <alignment/>
      <protection locked="0"/>
    </xf>
    <xf numFmtId="9" fontId="0" fillId="3" borderId="2" xfId="0" applyNumberFormat="1" applyFill="1" applyBorder="1" applyAlignment="1" applyProtection="1">
      <alignment/>
      <protection locked="0"/>
    </xf>
    <xf numFmtId="2" fontId="0" fillId="3" borderId="2" xfId="0" applyNumberFormat="1" applyFill="1" applyBorder="1" applyAlignment="1" applyProtection="1">
      <alignment/>
      <protection locked="0"/>
    </xf>
    <xf numFmtId="0" fontId="0" fillId="3" borderId="20" xfId="0" applyFill="1" applyBorder="1" applyAlignment="1" applyProtection="1">
      <alignment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69" fontId="0" fillId="6" borderId="0" xfId="0" applyNumberFormat="1" applyFill="1" applyBorder="1" applyAlignment="1">
      <alignment/>
    </xf>
    <xf numFmtId="1" fontId="0" fillId="6" borderId="13" xfId="0" applyNumberFormat="1" applyFill="1" applyBorder="1" applyAlignment="1">
      <alignment/>
    </xf>
    <xf numFmtId="1" fontId="0" fillId="6" borderId="14" xfId="0" applyNumberFormat="1" applyFill="1" applyBorder="1" applyAlignment="1">
      <alignment/>
    </xf>
    <xf numFmtId="169" fontId="0" fillId="6" borderId="14" xfId="0" applyNumberFormat="1" applyFill="1" applyBorder="1" applyAlignment="1">
      <alignment/>
    </xf>
    <xf numFmtId="2" fontId="0" fillId="6" borderId="12" xfId="0" applyNumberFormat="1" applyFill="1" applyBorder="1" applyAlignment="1">
      <alignment/>
    </xf>
    <xf numFmtId="2" fontId="0" fillId="6" borderId="15" xfId="0" applyNumberFormat="1" applyFill="1" applyBorder="1" applyAlignment="1">
      <alignment/>
    </xf>
    <xf numFmtId="0" fontId="13" fillId="7" borderId="0" xfId="0" applyFont="1" applyFill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3" fillId="10" borderId="0" xfId="0" applyFont="1" applyFill="1" applyAlignment="1">
      <alignment horizontal="center"/>
    </xf>
    <xf numFmtId="0" fontId="0" fillId="2" borderId="18" xfId="0" applyFill="1" applyBorder="1" applyAlignment="1">
      <alignment horizontal="center"/>
    </xf>
    <xf numFmtId="0" fontId="13" fillId="7" borderId="21" xfId="0" applyFont="1" applyFill="1" applyBorder="1" applyAlignment="1">
      <alignment horizontal="center"/>
    </xf>
    <xf numFmtId="0" fontId="0" fillId="7" borderId="21" xfId="0" applyFill="1" applyBorder="1" applyAlignment="1">
      <alignment/>
    </xf>
    <xf numFmtId="0" fontId="0" fillId="7" borderId="22" xfId="0" applyFill="1" applyBorder="1" applyAlignment="1">
      <alignment/>
    </xf>
    <xf numFmtId="0" fontId="13" fillId="7" borderId="1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10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0" fillId="2" borderId="17" xfId="0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13" fillId="7" borderId="0" xfId="0" applyFont="1" applyFill="1" applyAlignment="1" applyProtection="1">
      <alignment horizontal="center"/>
      <protection/>
    </xf>
    <xf numFmtId="0" fontId="14" fillId="7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" borderId="0" xfId="0" applyFont="1" applyFill="1" applyAlignment="1" applyProtection="1">
      <alignment horizontal="center"/>
      <protection/>
    </xf>
    <xf numFmtId="167" fontId="0" fillId="3" borderId="0" xfId="0" applyNumberFormat="1" applyFill="1" applyBorder="1" applyAlignment="1" applyProtection="1">
      <alignment horizontal="left"/>
      <protection locked="0"/>
    </xf>
    <xf numFmtId="169" fontId="0" fillId="3" borderId="0" xfId="0" applyNumberFormat="1" applyFill="1" applyAlignment="1" applyProtection="1">
      <alignment/>
      <protection locked="0"/>
    </xf>
    <xf numFmtId="171" fontId="0" fillId="3" borderId="0" xfId="0" applyNumberForma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'hydraulic data sheet'!$E$7:$E$31</c:f>
              <c:numCache/>
            </c:numRef>
          </c:xVal>
          <c:yVal>
            <c:numRef>
              <c:f>'hydraulic data sheet'!$K$7:$K$31</c:f>
              <c:numCache>
                <c:ptCount val="25"/>
                <c:pt idx="0">
                  <c:v>-0.1335970819010615</c:v>
                </c:pt>
                <c:pt idx="1">
                  <c:v>1.0155245592372355</c:v>
                </c:pt>
                <c:pt idx="2">
                  <c:v>16.389260894789505</c:v>
                </c:pt>
                <c:pt idx="3">
                  <c:v>41.91883235048234</c:v>
                </c:pt>
                <c:pt idx="4">
                  <c:v>74.49620640803641</c:v>
                </c:pt>
                <c:pt idx="5">
                  <c:v>110.10136805441968</c:v>
                </c:pt>
                <c:pt idx="6">
                  <c:v>147.40656450431263</c:v>
                </c:pt>
                <c:pt idx="7">
                  <c:v>185.01677296035118</c:v>
                </c:pt>
                <c:pt idx="8">
                  <c:v>222.27210866686062</c:v>
                </c:pt>
                <c:pt idx="9">
                  <c:v>258.466263227185</c:v>
                </c:pt>
                <c:pt idx="10">
                  <c:v>293.05101184015973</c:v>
                </c:pt>
                <c:pt idx="11">
                  <c:v>326.23541928135086</c:v>
                </c:pt>
                <c:pt idx="12">
                  <c:v>357.2055761296785</c:v>
                </c:pt>
                <c:pt idx="13">
                  <c:v>385.69988502451446</c:v>
                </c:pt>
                <c:pt idx="14">
                  <c:v>411.3094172096374</c:v>
                </c:pt>
                <c:pt idx="15">
                  <c:v>434.44955053871615</c:v>
                </c:pt>
                <c:pt idx="16">
                  <c:v>455.0747163064543</c:v>
                </c:pt>
                <c:pt idx="17">
                  <c:v>472.35052699704084</c:v>
                </c:pt>
                <c:pt idx="18">
                  <c:v>486.04251391271686</c:v>
                </c:pt>
                <c:pt idx="19">
                  <c:v>497.90933771966314</c:v>
                </c:pt>
                <c:pt idx="20">
                  <c:v>506.06924573609854</c:v>
                </c:pt>
                <c:pt idx="21">
                  <c:v>510.33275304174396</c:v>
                </c:pt>
                <c:pt idx="22">
                  <c:v>510.50738083131563</c:v>
                </c:pt>
                <c:pt idx="23">
                  <c:v>507.7657647449604</c:v>
                </c:pt>
                <c:pt idx="24">
                  <c:v>502.0914503714504</c:v>
                </c:pt>
              </c:numCache>
            </c:numRef>
          </c:yVal>
          <c:smooth val="1"/>
        </c:ser>
        <c:axId val="12617157"/>
        <c:axId val="46445550"/>
      </c:scatterChart>
      <c:valAx>
        <c:axId val="12617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flow rate (litres/sec)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45550"/>
        <c:crosses val="autoZero"/>
        <c:crossBetween val="midCat"/>
        <c:dispUnits/>
      </c:valAx>
      <c:valAx>
        <c:axId val="46445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output power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171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Turbine efficiency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565"/>
          <c:w val="0.79425"/>
          <c:h val="0.743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'turbine efficiency curve'!$B$9:$B$29</c:f>
              <c:numCache/>
            </c:numRef>
          </c:xVal>
          <c:yVal>
            <c:numRef>
              <c:f>'turbine efficiency curve'!$C$9:$C$29</c:f>
              <c:numCache/>
            </c:numRef>
          </c:yVal>
          <c:smooth val="1"/>
        </c:ser>
        <c:axId val="15356767"/>
        <c:axId val="3993176"/>
      </c:scatterChart>
      <c:valAx>
        <c:axId val="15356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percentage of full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3176"/>
        <c:crosses val="autoZero"/>
        <c:crossBetween val="midCat"/>
        <c:dispUnits/>
      </c:valAx>
      <c:valAx>
        <c:axId val="3993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efficiency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567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15</xdr:row>
      <xdr:rowOff>28575</xdr:rowOff>
    </xdr:from>
    <xdr:to>
      <xdr:col>14</xdr:col>
      <xdr:colOff>266700</xdr:colOff>
      <xdr:row>32</xdr:row>
      <xdr:rowOff>123825</xdr:rowOff>
    </xdr:to>
    <xdr:graphicFrame>
      <xdr:nvGraphicFramePr>
        <xdr:cNvPr id="1" name="Chart 475"/>
        <xdr:cNvGraphicFramePr/>
      </xdr:nvGraphicFramePr>
      <xdr:xfrm>
        <a:off x="5572125" y="2466975"/>
        <a:ext cx="47434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10</xdr:row>
      <xdr:rowOff>95250</xdr:rowOff>
    </xdr:from>
    <xdr:to>
      <xdr:col>8</xdr:col>
      <xdr:colOff>2066925</xdr:colOff>
      <xdr:row>31</xdr:row>
      <xdr:rowOff>0</xdr:rowOff>
    </xdr:to>
    <xdr:graphicFrame>
      <xdr:nvGraphicFramePr>
        <xdr:cNvPr id="1" name="Chart 13"/>
        <xdr:cNvGraphicFramePr/>
      </xdr:nvGraphicFramePr>
      <xdr:xfrm>
        <a:off x="2524125" y="1733550"/>
        <a:ext cx="54197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31" sqref="A31"/>
    </sheetView>
  </sheetViews>
  <sheetFormatPr defaultColWidth="9.140625" defaultRowHeight="12.75"/>
  <cols>
    <col min="1" max="1" width="25.140625" style="0" customWidth="1"/>
    <col min="3" max="3" width="2.57421875" style="0" customWidth="1"/>
    <col min="4" max="4" width="6.28125" style="0" customWidth="1"/>
    <col min="5" max="5" width="14.140625" style="0" customWidth="1"/>
    <col min="6" max="6" width="12.140625" style="0" customWidth="1"/>
    <col min="7" max="7" width="10.7109375" style="0" customWidth="1"/>
    <col min="9" max="9" width="4.7109375" style="0" customWidth="1"/>
    <col min="10" max="10" width="11.8515625" style="0" customWidth="1"/>
    <col min="11" max="11" width="12.8515625" style="0" customWidth="1"/>
    <col min="12" max="12" width="11.28125" style="0" customWidth="1"/>
    <col min="13" max="13" width="11.57421875" style="0" customWidth="1"/>
    <col min="15" max="15" width="12.140625" style="0" customWidth="1"/>
    <col min="16" max="16" width="10.00390625" style="0" customWidth="1"/>
  </cols>
  <sheetData>
    <row r="1" spans="1:12" ht="12.75">
      <c r="A1" s="151" t="s">
        <v>110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3" ht="13.5" thickBot="1">
      <c r="C3" s="36" t="s">
        <v>12</v>
      </c>
    </row>
    <row r="4" spans="1:13" ht="12.75">
      <c r="A4" s="149" t="s">
        <v>86</v>
      </c>
      <c r="B4" s="152"/>
      <c r="C4" s="37"/>
      <c r="D4" s="47"/>
      <c r="E4" s="153" t="s">
        <v>124</v>
      </c>
      <c r="F4" s="154"/>
      <c r="G4" s="154"/>
      <c r="H4" s="155"/>
      <c r="J4" s="156" t="s">
        <v>126</v>
      </c>
      <c r="K4" s="157"/>
      <c r="L4" s="157"/>
      <c r="M4" s="158"/>
    </row>
    <row r="5" spans="1:13" ht="12.75">
      <c r="A5" s="5" t="s">
        <v>87</v>
      </c>
      <c r="B5" s="34">
        <v>7</v>
      </c>
      <c r="C5" s="38"/>
      <c r="D5" s="48" t="s">
        <v>99</v>
      </c>
      <c r="E5" s="35" t="s">
        <v>90</v>
      </c>
      <c r="F5" s="35" t="s">
        <v>92</v>
      </c>
      <c r="G5" s="35" t="s">
        <v>94</v>
      </c>
      <c r="H5" s="49" t="s">
        <v>95</v>
      </c>
      <c r="J5" s="48" t="s">
        <v>97</v>
      </c>
      <c r="K5" s="35" t="s">
        <v>81</v>
      </c>
      <c r="L5" s="35" t="s">
        <v>106</v>
      </c>
      <c r="M5" s="49" t="s">
        <v>128</v>
      </c>
    </row>
    <row r="6" spans="1:13" ht="12.75">
      <c r="A6" s="5" t="s">
        <v>88</v>
      </c>
      <c r="B6" s="6">
        <v>56</v>
      </c>
      <c r="C6" s="33"/>
      <c r="D6" s="48" t="s">
        <v>100</v>
      </c>
      <c r="E6" s="35" t="s">
        <v>91</v>
      </c>
      <c r="F6" s="35" t="s">
        <v>93</v>
      </c>
      <c r="G6" s="35" t="s">
        <v>93</v>
      </c>
      <c r="H6" s="49" t="s">
        <v>96</v>
      </c>
      <c r="J6" s="48" t="s">
        <v>98</v>
      </c>
      <c r="K6" s="35" t="s">
        <v>70</v>
      </c>
      <c r="L6" s="35" t="s">
        <v>107</v>
      </c>
      <c r="M6" s="49" t="s">
        <v>73</v>
      </c>
    </row>
    <row r="7" spans="1:13" ht="12.75">
      <c r="A7" s="7" t="s">
        <v>89</v>
      </c>
      <c r="B7" s="39">
        <v>134</v>
      </c>
      <c r="C7" s="33"/>
      <c r="D7" s="50">
        <v>1</v>
      </c>
      <c r="E7" s="51">
        <v>8</v>
      </c>
      <c r="F7" s="51">
        <v>0</v>
      </c>
      <c r="G7" s="51">
        <v>23</v>
      </c>
      <c r="H7" s="52">
        <f aca="true" t="shared" si="0" ref="H7:H24">static_head-(F7+G7)*0.01021</f>
        <v>6.76517</v>
      </c>
      <c r="J7" s="56">
        <f aca="true" t="shared" si="1" ref="J7:J31">IF(D7=current_entry_no,MPP_rpm,VALUE(J7))</f>
        <v>8.298591424053239</v>
      </c>
      <c r="K7" s="57">
        <f aca="true" t="shared" si="2" ref="K7:K31">IF(D7=current_entry_no,MPP_power,VALUE(K7))</f>
        <v>-0.1335970819010615</v>
      </c>
      <c r="L7" s="142">
        <f>IF(D7=current_entry_no,MPP_volts,VALUE(L7))</f>
        <v>5.683293965715233</v>
      </c>
      <c r="M7" s="146">
        <f>IF(D7=current_entry_no,MPP_amps,VALUE(M7))</f>
        <v>-0.024486438290854607</v>
      </c>
    </row>
    <row r="8" spans="3:13" ht="12.75">
      <c r="C8" s="33"/>
      <c r="D8" s="50">
        <f>D7+1</f>
        <v>2</v>
      </c>
      <c r="E8" s="51">
        <v>9</v>
      </c>
      <c r="F8" s="51">
        <v>0</v>
      </c>
      <c r="G8" s="51">
        <v>29</v>
      </c>
      <c r="H8" s="52">
        <f t="shared" si="0"/>
        <v>6.70391</v>
      </c>
      <c r="J8" s="56">
        <f t="shared" si="1"/>
        <v>35.522013005290106</v>
      </c>
      <c r="K8" s="57">
        <f t="shared" si="2"/>
        <v>1.0155245592372355</v>
      </c>
      <c r="L8" s="142">
        <f aca="true" t="shared" si="3" ref="L8:L31">IF(D8=current_entry_no,MPP_volts,VALUE(L8))</f>
        <v>23.597460383553756</v>
      </c>
      <c r="M8" s="146">
        <f aca="true" t="shared" si="4" ref="M8:M31">IF(D8=current_entry_no,MPP_amps,VALUE(M8))</f>
        <v>0.04482847159586915</v>
      </c>
    </row>
    <row r="9" spans="1:13" ht="12.75">
      <c r="A9" s="149" t="s">
        <v>123</v>
      </c>
      <c r="B9" s="150"/>
      <c r="D9" s="50">
        <f aca="true" t="shared" si="5" ref="D9:D28">D8+1</f>
        <v>3</v>
      </c>
      <c r="E9" s="51">
        <v>10</v>
      </c>
      <c r="F9" s="51">
        <v>1</v>
      </c>
      <c r="G9" s="51">
        <v>35</v>
      </c>
      <c r="H9" s="52">
        <f t="shared" si="0"/>
        <v>6.63244</v>
      </c>
      <c r="J9" s="56">
        <f t="shared" si="1"/>
        <v>89.56290850358616</v>
      </c>
      <c r="K9" s="57">
        <f t="shared" si="2"/>
        <v>16.389260894789505</v>
      </c>
      <c r="L9" s="142">
        <f t="shared" si="3"/>
        <v>58.62819720000689</v>
      </c>
      <c r="M9" s="146">
        <f t="shared" si="4"/>
        <v>0.2911934458288908</v>
      </c>
    </row>
    <row r="10" spans="1:13" ht="12.75">
      <c r="A10" s="7" t="s">
        <v>65</v>
      </c>
      <c r="B10" s="31">
        <v>0.26</v>
      </c>
      <c r="D10" s="50">
        <f t="shared" si="5"/>
        <v>4</v>
      </c>
      <c r="E10" s="51">
        <v>11</v>
      </c>
      <c r="F10" s="51">
        <v>1</v>
      </c>
      <c r="G10" s="51">
        <v>41</v>
      </c>
      <c r="H10" s="52">
        <f t="shared" si="0"/>
        <v>6.57118</v>
      </c>
      <c r="J10" s="56">
        <f t="shared" si="1"/>
        <v>143.12805060837727</v>
      </c>
      <c r="K10" s="57">
        <f t="shared" si="2"/>
        <v>41.91883235048234</v>
      </c>
      <c r="L10" s="142">
        <f t="shared" si="3"/>
        <v>93.68860941170098</v>
      </c>
      <c r="M10" s="146">
        <f t="shared" si="4"/>
        <v>0.46607000188469333</v>
      </c>
    </row>
    <row r="11" spans="1:13" ht="12.75">
      <c r="A11" s="7" t="s">
        <v>66</v>
      </c>
      <c r="B11" s="31">
        <v>0.55</v>
      </c>
      <c r="D11" s="50">
        <f t="shared" si="5"/>
        <v>5</v>
      </c>
      <c r="E11" s="51">
        <v>12</v>
      </c>
      <c r="F11" s="51">
        <v>1</v>
      </c>
      <c r="G11" s="51">
        <v>48</v>
      </c>
      <c r="H11" s="52">
        <f t="shared" si="0"/>
        <v>6.49971</v>
      </c>
      <c r="J11" s="56">
        <f t="shared" si="1"/>
        <v>169.19025722447893</v>
      </c>
      <c r="K11" s="57">
        <f t="shared" si="2"/>
        <v>74.49620640803641</v>
      </c>
      <c r="L11" s="142">
        <f t="shared" si="3"/>
        <v>109.99462023468104</v>
      </c>
      <c r="M11" s="146">
        <f t="shared" si="4"/>
        <v>0.7054910034945883</v>
      </c>
    </row>
    <row r="12" spans="4:13" ht="12.75">
      <c r="D12" s="50">
        <f t="shared" si="5"/>
        <v>6</v>
      </c>
      <c r="E12" s="51">
        <v>13</v>
      </c>
      <c r="F12" s="51">
        <v>1</v>
      </c>
      <c r="G12" s="51">
        <v>56</v>
      </c>
      <c r="H12" s="52">
        <f t="shared" si="0"/>
        <v>6.41803</v>
      </c>
      <c r="J12" s="56">
        <f t="shared" si="1"/>
        <v>194.79730299976717</v>
      </c>
      <c r="K12" s="57">
        <f t="shared" si="2"/>
        <v>110.10136805441968</v>
      </c>
      <c r="L12" s="142">
        <f t="shared" si="3"/>
        <v>126.17061303873095</v>
      </c>
      <c r="M12" s="146">
        <f t="shared" si="4"/>
        <v>0.9089987144746676</v>
      </c>
    </row>
    <row r="13" spans="4:13" ht="12.75">
      <c r="D13" s="50">
        <f t="shared" si="5"/>
        <v>7</v>
      </c>
      <c r="E13" s="51">
        <v>14</v>
      </c>
      <c r="F13" s="51">
        <v>1</v>
      </c>
      <c r="G13" s="51">
        <v>64</v>
      </c>
      <c r="H13" s="52">
        <f t="shared" si="0"/>
        <v>6.3363499999999995</v>
      </c>
      <c r="J13" s="56">
        <f t="shared" si="1"/>
        <v>208.81320191975414</v>
      </c>
      <c r="K13" s="57">
        <f t="shared" si="2"/>
        <v>147.40656450431263</v>
      </c>
      <c r="L13" s="142">
        <f t="shared" si="3"/>
        <v>134.43030997707692</v>
      </c>
      <c r="M13" s="146">
        <f t="shared" si="4"/>
        <v>1.1422163998444654</v>
      </c>
    </row>
    <row r="14" spans="1:13" ht="12.75">
      <c r="A14" s="148" t="s">
        <v>125</v>
      </c>
      <c r="B14" s="148"/>
      <c r="D14" s="50">
        <f t="shared" si="5"/>
        <v>8</v>
      </c>
      <c r="E14" s="51">
        <v>15</v>
      </c>
      <c r="F14" s="51">
        <v>1</v>
      </c>
      <c r="G14" s="51">
        <v>73</v>
      </c>
      <c r="H14" s="52">
        <f t="shared" si="0"/>
        <v>6.24446</v>
      </c>
      <c r="J14" s="56">
        <f t="shared" si="1"/>
        <v>226.82699561035136</v>
      </c>
      <c r="K14" s="57">
        <f t="shared" si="2"/>
        <v>185.01677296035118</v>
      </c>
      <c r="L14" s="142">
        <f t="shared" si="3"/>
        <v>145.6239697857656</v>
      </c>
      <c r="M14" s="146">
        <f t="shared" si="4"/>
        <v>1.3234483680850113</v>
      </c>
    </row>
    <row r="15" spans="1:13" ht="12.75">
      <c r="A15" s="10" t="s">
        <v>117</v>
      </c>
      <c r="B15" s="140">
        <v>23</v>
      </c>
      <c r="D15" s="50">
        <f t="shared" si="5"/>
        <v>9</v>
      </c>
      <c r="E15" s="51">
        <v>16</v>
      </c>
      <c r="F15" s="51">
        <v>1</v>
      </c>
      <c r="G15" s="51">
        <v>82</v>
      </c>
      <c r="H15" s="52">
        <f t="shared" si="0"/>
        <v>6.15257</v>
      </c>
      <c r="J15" s="56">
        <f t="shared" si="1"/>
        <v>239.39699048251688</v>
      </c>
      <c r="K15" s="57">
        <f t="shared" si="2"/>
        <v>222.27210866686062</v>
      </c>
      <c r="L15" s="142">
        <f t="shared" si="3"/>
        <v>153.13215791827128</v>
      </c>
      <c r="M15" s="146">
        <f t="shared" si="4"/>
        <v>1.5119844823943014</v>
      </c>
    </row>
    <row r="16" spans="4:13" ht="12.75">
      <c r="D16" s="50">
        <f t="shared" si="5"/>
        <v>10</v>
      </c>
      <c r="E16" s="51">
        <v>17</v>
      </c>
      <c r="F16" s="51">
        <v>2</v>
      </c>
      <c r="G16" s="51">
        <v>91</v>
      </c>
      <c r="H16" s="52">
        <f t="shared" si="0"/>
        <v>6.05047</v>
      </c>
      <c r="J16" s="56">
        <f t="shared" si="1"/>
        <v>251.13633962534257</v>
      </c>
      <c r="K16" s="57">
        <f t="shared" si="2"/>
        <v>258.466263227185</v>
      </c>
      <c r="L16" s="142">
        <f t="shared" si="3"/>
        <v>160.17942239914944</v>
      </c>
      <c r="M16" s="146">
        <f t="shared" si="4"/>
        <v>1.6808381927532827</v>
      </c>
    </row>
    <row r="17" spans="4:13" ht="12.75">
      <c r="D17" s="50">
        <f t="shared" si="5"/>
        <v>11</v>
      </c>
      <c r="E17" s="51">
        <v>18</v>
      </c>
      <c r="F17" s="51">
        <v>2</v>
      </c>
      <c r="G17" s="51">
        <v>102</v>
      </c>
      <c r="H17" s="52">
        <f t="shared" si="0"/>
        <v>5.93816</v>
      </c>
      <c r="J17" s="56">
        <f t="shared" si="1"/>
        <v>258.1243985376062</v>
      </c>
      <c r="K17" s="57">
        <f t="shared" si="2"/>
        <v>293.05101184015973</v>
      </c>
      <c r="L17" s="142">
        <f t="shared" si="3"/>
        <v>163.9833568595148</v>
      </c>
      <c r="M17" s="146">
        <f t="shared" si="4"/>
        <v>1.861539344680886</v>
      </c>
    </row>
    <row r="18" spans="1:13" ht="12.75">
      <c r="A18" s="149" t="s">
        <v>109</v>
      </c>
      <c r="B18" s="150"/>
      <c r="C18" s="32"/>
      <c r="D18" s="50">
        <f t="shared" si="5"/>
        <v>12</v>
      </c>
      <c r="E18" s="51">
        <v>19</v>
      </c>
      <c r="F18" s="51">
        <v>2</v>
      </c>
      <c r="G18" s="51">
        <v>112</v>
      </c>
      <c r="H18" s="52">
        <f t="shared" si="0"/>
        <v>5.83606</v>
      </c>
      <c r="J18" s="56">
        <f t="shared" si="1"/>
        <v>265.14493932586805</v>
      </c>
      <c r="K18" s="57">
        <f t="shared" si="2"/>
        <v>326.23541928135086</v>
      </c>
      <c r="L18" s="142">
        <f t="shared" si="3"/>
        <v>167.89793688424348</v>
      </c>
      <c r="M18" s="146">
        <f t="shared" si="4"/>
        <v>2.024018686934197</v>
      </c>
    </row>
    <row r="19" spans="1:13" ht="12.75">
      <c r="A19" s="43" t="s">
        <v>104</v>
      </c>
      <c r="B19" s="44">
        <f>MATCH(MPP_power,'calculation sheet'!U7:U27,0)</f>
        <v>12</v>
      </c>
      <c r="D19" s="50">
        <f t="shared" si="5"/>
        <v>13</v>
      </c>
      <c r="E19" s="51">
        <v>20</v>
      </c>
      <c r="F19" s="51">
        <v>2</v>
      </c>
      <c r="G19" s="51">
        <v>123</v>
      </c>
      <c r="H19" s="52">
        <f t="shared" si="0"/>
        <v>5.72375</v>
      </c>
      <c r="J19" s="56">
        <f t="shared" si="1"/>
        <v>274.79438527039696</v>
      </c>
      <c r="K19" s="57">
        <f t="shared" si="2"/>
        <v>357.2055761296785</v>
      </c>
      <c r="L19" s="142">
        <f t="shared" si="3"/>
        <v>173.79729126150914</v>
      </c>
      <c r="M19" s="146">
        <f t="shared" si="4"/>
        <v>2.14093752037754</v>
      </c>
    </row>
    <row r="20" spans="1:13" ht="12.75">
      <c r="A20" s="43" t="s">
        <v>103</v>
      </c>
      <c r="B20" s="45">
        <f>INDEX('calculation sheet'!D7:D27,B19)</f>
        <v>0.41950000000000015</v>
      </c>
      <c r="D20" s="50">
        <f t="shared" si="5"/>
        <v>14</v>
      </c>
      <c r="E20" s="51">
        <v>21</v>
      </c>
      <c r="F20" s="51">
        <v>2</v>
      </c>
      <c r="G20" s="51">
        <v>135</v>
      </c>
      <c r="H20" s="52">
        <f t="shared" si="0"/>
        <v>5.60123</v>
      </c>
      <c r="J20" s="56">
        <f t="shared" si="1"/>
        <v>275.23538137147057</v>
      </c>
      <c r="K20" s="57">
        <f t="shared" si="2"/>
        <v>385.69988502451446</v>
      </c>
      <c r="L20" s="142">
        <f t="shared" si="3"/>
        <v>173.2226537569609</v>
      </c>
      <c r="M20" s="146">
        <f t="shared" si="4"/>
        <v>2.3193889762877364</v>
      </c>
    </row>
    <row r="21" spans="1:13" ht="12.75">
      <c r="A21" s="43" t="s">
        <v>102</v>
      </c>
      <c r="B21" s="46">
        <f>MAX('calculation sheet'!U7:U27)</f>
        <v>510.50738083131563</v>
      </c>
      <c r="D21" s="50">
        <f t="shared" si="5"/>
        <v>15</v>
      </c>
      <c r="E21" s="51">
        <v>22</v>
      </c>
      <c r="F21" s="51">
        <v>3</v>
      </c>
      <c r="G21" s="51">
        <v>147</v>
      </c>
      <c r="H21" s="52">
        <f t="shared" si="0"/>
        <v>5.4685</v>
      </c>
      <c r="J21" s="56">
        <f t="shared" si="1"/>
        <v>278.66969361320065</v>
      </c>
      <c r="K21" s="57">
        <f t="shared" si="2"/>
        <v>411.3094172096374</v>
      </c>
      <c r="L21" s="142">
        <f t="shared" si="3"/>
        <v>174.88909661526284</v>
      </c>
      <c r="M21" s="146">
        <f t="shared" si="4"/>
        <v>2.449822875670232</v>
      </c>
    </row>
    <row r="22" spans="1:13" ht="12.75">
      <c r="A22" s="43" t="s">
        <v>105</v>
      </c>
      <c r="B22" s="46">
        <f>INDEX('calculation sheet'!F7:F27,B19)</f>
        <v>276.7009774672239</v>
      </c>
      <c r="D22" s="50">
        <f t="shared" si="5"/>
        <v>16</v>
      </c>
      <c r="E22" s="51">
        <v>23</v>
      </c>
      <c r="F22" s="51">
        <v>3</v>
      </c>
      <c r="G22" s="51">
        <v>160</v>
      </c>
      <c r="H22" s="52">
        <f t="shared" si="0"/>
        <v>5.33577</v>
      </c>
      <c r="J22" s="56">
        <f t="shared" si="1"/>
        <v>281.8999609289556</v>
      </c>
      <c r="K22" s="57">
        <f t="shared" si="2"/>
        <v>434.44955053871615</v>
      </c>
      <c r="L22" s="142">
        <f t="shared" si="3"/>
        <v>176.49770182350625</v>
      </c>
      <c r="M22" s="146">
        <f t="shared" si="4"/>
        <v>2.564065200106897</v>
      </c>
    </row>
    <row r="23" spans="1:13" ht="12.75">
      <c r="A23" s="43" t="s">
        <v>108</v>
      </c>
      <c r="B23" s="46">
        <f>INDEX('calculation sheet'!S7:S27,B19)</f>
        <v>170.28684838887665</v>
      </c>
      <c r="D23" s="50">
        <f t="shared" si="5"/>
        <v>17</v>
      </c>
      <c r="E23" s="51">
        <v>24</v>
      </c>
      <c r="F23" s="51">
        <v>3</v>
      </c>
      <c r="G23" s="51">
        <v>173</v>
      </c>
      <c r="H23" s="52">
        <f t="shared" si="0"/>
        <v>5.20304</v>
      </c>
      <c r="J23" s="56">
        <f t="shared" si="1"/>
        <v>284.92159998206495</v>
      </c>
      <c r="K23" s="57">
        <f t="shared" si="2"/>
        <v>455.0747163064543</v>
      </c>
      <c r="L23" s="142">
        <f t="shared" si="3"/>
        <v>178.04366283584474</v>
      </c>
      <c r="M23" s="146">
        <f t="shared" si="4"/>
        <v>2.6624714144208657</v>
      </c>
    </row>
    <row r="24" spans="1:13" ht="12.75">
      <c r="A24" s="43" t="s">
        <v>127</v>
      </c>
      <c r="B24" s="46">
        <f>INDEX('calculation sheet'!L7:L27,B19)</f>
        <v>3.122839648102992</v>
      </c>
      <c r="D24" s="50">
        <f t="shared" si="5"/>
        <v>18</v>
      </c>
      <c r="E24" s="51">
        <v>25</v>
      </c>
      <c r="F24" s="51">
        <v>3</v>
      </c>
      <c r="G24" s="51">
        <v>187</v>
      </c>
      <c r="H24" s="52">
        <f t="shared" si="0"/>
        <v>5.0601</v>
      </c>
      <c r="J24" s="56">
        <f t="shared" si="1"/>
        <v>285.6456716427344</v>
      </c>
      <c r="K24" s="57">
        <f t="shared" si="2"/>
        <v>472.35052699704084</v>
      </c>
      <c r="L24" s="142">
        <f t="shared" si="3"/>
        <v>178.03557213816657</v>
      </c>
      <c r="M24" s="146">
        <f t="shared" si="4"/>
        <v>2.763671287968249</v>
      </c>
    </row>
    <row r="25" spans="4:13" ht="12.75">
      <c r="D25" s="50">
        <f t="shared" si="5"/>
        <v>19</v>
      </c>
      <c r="E25" s="51">
        <v>26</v>
      </c>
      <c r="F25" s="51">
        <v>4</v>
      </c>
      <c r="G25" s="51">
        <v>201</v>
      </c>
      <c r="H25" s="52">
        <f aca="true" t="shared" si="6" ref="H25:H31">static_head-(F25+G25)*0.01021</f>
        <v>4.90695</v>
      </c>
      <c r="J25" s="56">
        <f t="shared" si="1"/>
        <v>285.5303036550903</v>
      </c>
      <c r="K25" s="57">
        <f t="shared" si="2"/>
        <v>486.04251391271686</v>
      </c>
      <c r="L25" s="142">
        <f t="shared" si="3"/>
        <v>177.5278601879856</v>
      </c>
      <c r="M25" s="146">
        <f t="shared" si="4"/>
        <v>2.851914537749894</v>
      </c>
    </row>
    <row r="26" spans="4:13" ht="12.75">
      <c r="D26" s="50">
        <f t="shared" si="5"/>
        <v>20</v>
      </c>
      <c r="E26" s="51">
        <v>27</v>
      </c>
      <c r="F26" s="51">
        <v>4</v>
      </c>
      <c r="G26" s="51">
        <v>215</v>
      </c>
      <c r="H26" s="52">
        <f t="shared" si="6"/>
        <v>4.76401</v>
      </c>
      <c r="J26" s="56">
        <f t="shared" si="1"/>
        <v>285.5191320024058</v>
      </c>
      <c r="K26" s="57">
        <f t="shared" si="2"/>
        <v>497.90933771966314</v>
      </c>
      <c r="L26" s="142">
        <f t="shared" si="3"/>
        <v>177.15042695529726</v>
      </c>
      <c r="M26" s="146">
        <f t="shared" si="4"/>
        <v>2.927769179215856</v>
      </c>
    </row>
    <row r="27" spans="4:13" ht="12.75">
      <c r="D27" s="50">
        <f t="shared" si="5"/>
        <v>21</v>
      </c>
      <c r="E27" s="51">
        <v>28</v>
      </c>
      <c r="F27" s="51">
        <v>4</v>
      </c>
      <c r="G27" s="51">
        <v>230</v>
      </c>
      <c r="H27" s="52">
        <f t="shared" si="6"/>
        <v>4.61086</v>
      </c>
      <c r="J27" s="56">
        <f t="shared" si="1"/>
        <v>285.0029296503869</v>
      </c>
      <c r="K27" s="57">
        <f t="shared" si="2"/>
        <v>506.06924573609854</v>
      </c>
      <c r="L27" s="142">
        <f t="shared" si="3"/>
        <v>176.51836310089897</v>
      </c>
      <c r="M27" s="146">
        <f t="shared" si="4"/>
        <v>2.986405805310526</v>
      </c>
    </row>
    <row r="28" spans="4:13" ht="12.75">
      <c r="D28" s="50">
        <f t="shared" si="5"/>
        <v>22</v>
      </c>
      <c r="E28" s="51">
        <v>29</v>
      </c>
      <c r="F28" s="51">
        <v>4</v>
      </c>
      <c r="G28" s="51">
        <v>246</v>
      </c>
      <c r="H28" s="52">
        <f t="shared" si="6"/>
        <v>4.4475</v>
      </c>
      <c r="J28" s="56">
        <f t="shared" si="1"/>
        <v>279.9086597236157</v>
      </c>
      <c r="K28" s="57">
        <f t="shared" si="2"/>
        <v>510.33275304174396</v>
      </c>
      <c r="L28" s="142">
        <f t="shared" si="3"/>
        <v>172.65117379108202</v>
      </c>
      <c r="M28" s="146">
        <f t="shared" si="4"/>
        <v>3.0790211620285857</v>
      </c>
    </row>
    <row r="29" spans="4:13" ht="12.75">
      <c r="D29" s="50">
        <f>D28+1</f>
        <v>23</v>
      </c>
      <c r="E29" s="51">
        <v>30</v>
      </c>
      <c r="F29" s="51">
        <v>5</v>
      </c>
      <c r="G29" s="51">
        <v>262</v>
      </c>
      <c r="H29" s="52">
        <f t="shared" si="6"/>
        <v>4.27393</v>
      </c>
      <c r="J29" s="56">
        <f t="shared" si="1"/>
        <v>276.7009774672239</v>
      </c>
      <c r="K29" s="57">
        <f t="shared" si="2"/>
        <v>510.50738083131563</v>
      </c>
      <c r="L29" s="142">
        <f t="shared" si="3"/>
        <v>170.28684838887665</v>
      </c>
      <c r="M29" s="146">
        <f t="shared" si="4"/>
        <v>3.122839648102992</v>
      </c>
    </row>
    <row r="30" spans="4:13" ht="12.75">
      <c r="D30" s="50">
        <f>D29+1</f>
        <v>24</v>
      </c>
      <c r="E30" s="51">
        <v>31</v>
      </c>
      <c r="F30" s="51">
        <v>5</v>
      </c>
      <c r="G30" s="51">
        <v>279</v>
      </c>
      <c r="H30" s="52">
        <f t="shared" si="6"/>
        <v>4.10036</v>
      </c>
      <c r="J30" s="56">
        <f t="shared" si="1"/>
        <v>276.51569627844015</v>
      </c>
      <c r="K30" s="57">
        <f t="shared" si="2"/>
        <v>507.7657647449604</v>
      </c>
      <c r="L30" s="142">
        <f t="shared" si="3"/>
        <v>170.2402715589801</v>
      </c>
      <c r="M30" s="146">
        <f t="shared" si="4"/>
        <v>3.106918631917756</v>
      </c>
    </row>
    <row r="31" spans="4:13" ht="13.5" thickBot="1">
      <c r="D31" s="53">
        <f>D30+1</f>
        <v>25</v>
      </c>
      <c r="E31" s="141">
        <v>32</v>
      </c>
      <c r="F31" s="141">
        <v>5</v>
      </c>
      <c r="G31" s="54">
        <v>296</v>
      </c>
      <c r="H31" s="55">
        <f t="shared" si="6"/>
        <v>3.92679</v>
      </c>
      <c r="J31" s="143">
        <f t="shared" si="1"/>
        <v>270.5999007159768</v>
      </c>
      <c r="K31" s="144">
        <f t="shared" si="2"/>
        <v>502.0914503714504</v>
      </c>
      <c r="L31" s="145">
        <f t="shared" si="3"/>
        <v>166.06674703427603</v>
      </c>
      <c r="M31" s="147">
        <f t="shared" si="4"/>
        <v>3.149407914652002</v>
      </c>
    </row>
  </sheetData>
  <sheetProtection sheet="1" objects="1" scenarios="1"/>
  <mergeCells count="7">
    <mergeCell ref="A14:B14"/>
    <mergeCell ref="A18:B18"/>
    <mergeCell ref="A1:L1"/>
    <mergeCell ref="A4:B4"/>
    <mergeCell ref="E4:H4"/>
    <mergeCell ref="A9:B9"/>
    <mergeCell ref="J4:M4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2">
      <selection activeCell="C11" sqref="C11"/>
    </sheetView>
  </sheetViews>
  <sheetFormatPr defaultColWidth="9.140625" defaultRowHeight="12.75"/>
  <cols>
    <col min="1" max="1" width="18.57421875" style="0" customWidth="1"/>
    <col min="2" max="2" width="9.140625" style="4" customWidth="1"/>
    <col min="3" max="3" width="8.28125" style="8" customWidth="1"/>
    <col min="4" max="4" width="13.8515625" style="4" customWidth="1"/>
    <col min="5" max="5" width="13.8515625" style="11" customWidth="1"/>
    <col min="6" max="7" width="13.8515625" style="8" customWidth="1"/>
    <col min="8" max="8" width="14.00390625" style="3" customWidth="1"/>
    <col min="9" max="9" width="11.57421875" style="3" customWidth="1"/>
    <col min="10" max="10" width="11.8515625" style="9" customWidth="1"/>
  </cols>
  <sheetData>
    <row r="1" spans="1:10" ht="12.75">
      <c r="A1" s="159" t="s">
        <v>56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2:10" ht="13.5" thickBot="1">
      <c r="B2"/>
      <c r="C2"/>
      <c r="D2"/>
      <c r="E2"/>
      <c r="F2"/>
      <c r="G2"/>
      <c r="H2"/>
      <c r="I2"/>
      <c r="J2"/>
    </row>
    <row r="3" spans="1:10" s="1" customFormat="1" ht="13.5" thickTop="1">
      <c r="A3" s="12" t="s">
        <v>0</v>
      </c>
      <c r="B3" s="13" t="s">
        <v>31</v>
      </c>
      <c r="C3" s="14" t="s">
        <v>32</v>
      </c>
      <c r="D3" s="13" t="s">
        <v>33</v>
      </c>
      <c r="E3" s="15" t="s">
        <v>54</v>
      </c>
      <c r="F3" s="14" t="s">
        <v>55</v>
      </c>
      <c r="G3" s="14" t="s">
        <v>5</v>
      </c>
      <c r="H3" s="16" t="s">
        <v>8</v>
      </c>
      <c r="I3" s="16" t="s">
        <v>6</v>
      </c>
      <c r="J3" s="17" t="s">
        <v>57</v>
      </c>
    </row>
    <row r="4" spans="1:10" s="1" customFormat="1" ht="14.25">
      <c r="A4" s="18"/>
      <c r="B4" s="19" t="s">
        <v>34</v>
      </c>
      <c r="C4" s="20" t="s">
        <v>35</v>
      </c>
      <c r="D4" s="19" t="s">
        <v>33</v>
      </c>
      <c r="E4" s="2" t="s">
        <v>36</v>
      </c>
      <c r="F4" s="21" t="s">
        <v>9</v>
      </c>
      <c r="G4" s="22" t="s">
        <v>1</v>
      </c>
      <c r="H4" s="23" t="s">
        <v>2</v>
      </c>
      <c r="I4" s="23" t="s">
        <v>7</v>
      </c>
      <c r="J4" s="24" t="s">
        <v>3</v>
      </c>
    </row>
    <row r="5" spans="1:10" s="1" customFormat="1" ht="12.75">
      <c r="A5" s="61" t="s">
        <v>37</v>
      </c>
      <c r="B5" s="62">
        <v>90</v>
      </c>
      <c r="C5" s="63">
        <v>0.25</v>
      </c>
      <c r="D5" s="62">
        <v>1750</v>
      </c>
      <c r="E5" s="64">
        <v>3.2</v>
      </c>
      <c r="F5" s="65">
        <v>1.36</v>
      </c>
      <c r="G5" s="63">
        <v>3.51</v>
      </c>
      <c r="H5" s="25">
        <f aca="true" t="shared" si="0" ref="H5:H19">(B5-E5*G5)/(D5*PI()/30)</f>
        <v>0.4298165676844256</v>
      </c>
      <c r="I5" s="26">
        <f aca="true" t="shared" si="1" ref="I5:I19">H5</f>
        <v>0.4298165676844256</v>
      </c>
      <c r="J5" s="27">
        <v>0.0007329541177645035</v>
      </c>
    </row>
    <row r="6" spans="1:10" ht="12.75">
      <c r="A6" s="66" t="s">
        <v>38</v>
      </c>
      <c r="B6" s="67">
        <v>90</v>
      </c>
      <c r="C6" s="68">
        <v>0.37</v>
      </c>
      <c r="D6" s="67">
        <v>1750</v>
      </c>
      <c r="E6" s="69">
        <v>4.8</v>
      </c>
      <c r="F6" s="68">
        <v>2.04</v>
      </c>
      <c r="G6" s="68">
        <v>2.326</v>
      </c>
      <c r="H6" s="25">
        <f t="shared" si="0"/>
        <v>0.4301832606733093</v>
      </c>
      <c r="I6" s="26">
        <f>H6</f>
        <v>0.4301832606733093</v>
      </c>
      <c r="J6" s="27">
        <v>0.0011242294936497014</v>
      </c>
    </row>
    <row r="7" spans="1:10" ht="12.75">
      <c r="A7" s="66" t="s">
        <v>39</v>
      </c>
      <c r="B7" s="67">
        <v>90</v>
      </c>
      <c r="C7" s="68">
        <v>0.37</v>
      </c>
      <c r="D7" s="67">
        <v>1750</v>
      </c>
      <c r="E7" s="69">
        <v>5</v>
      </c>
      <c r="F7" s="68">
        <v>1.43</v>
      </c>
      <c r="G7" s="68">
        <v>0.821</v>
      </c>
      <c r="H7" s="25">
        <f t="shared" si="0"/>
        <v>0.46870676012154344</v>
      </c>
      <c r="I7" s="26">
        <f>H7</f>
        <v>0.46870676012154344</v>
      </c>
      <c r="J7" s="27">
        <v>0.0011242294936497014</v>
      </c>
    </row>
    <row r="8" spans="1:10" ht="12.75">
      <c r="A8" s="66" t="s">
        <v>40</v>
      </c>
      <c r="B8" s="67">
        <v>90</v>
      </c>
      <c r="C8" s="68">
        <v>0.56</v>
      </c>
      <c r="D8" s="67">
        <v>1750</v>
      </c>
      <c r="E8" s="69">
        <v>7</v>
      </c>
      <c r="F8" s="68">
        <v>3.06</v>
      </c>
      <c r="G8" s="68">
        <v>1.077</v>
      </c>
      <c r="H8" s="25">
        <f t="shared" si="0"/>
        <v>0.44996831185031255</v>
      </c>
      <c r="I8" s="26">
        <f>H8</f>
        <v>0.44996831185031255</v>
      </c>
      <c r="J8" s="27">
        <v>0.0017437488388012653</v>
      </c>
    </row>
    <row r="9" spans="1:10" ht="12.75">
      <c r="A9" s="66" t="s">
        <v>41</v>
      </c>
      <c r="B9" s="67">
        <v>90</v>
      </c>
      <c r="C9" s="68">
        <v>0.75</v>
      </c>
      <c r="D9" s="67">
        <v>1750</v>
      </c>
      <c r="E9" s="69">
        <v>10</v>
      </c>
      <c r="F9" s="68">
        <v>4.08</v>
      </c>
      <c r="G9" s="68">
        <v>0.96</v>
      </c>
      <c r="H9" s="25">
        <f t="shared" si="0"/>
        <v>0.43872196884303044</v>
      </c>
      <c r="I9" s="26">
        <f>H9</f>
        <v>0.43872196884303044</v>
      </c>
      <c r="J9" s="27">
        <v>0.002363268183952829</v>
      </c>
    </row>
    <row r="10" spans="1:10" ht="12.75">
      <c r="A10" s="66" t="s">
        <v>42</v>
      </c>
      <c r="B10" s="67">
        <v>180</v>
      </c>
      <c r="C10" s="68">
        <v>0.25</v>
      </c>
      <c r="D10" s="67">
        <v>1750</v>
      </c>
      <c r="E10" s="69">
        <v>1.6</v>
      </c>
      <c r="F10" s="68">
        <v>1.36</v>
      </c>
      <c r="G10" s="68">
        <v>5.178</v>
      </c>
      <c r="H10" s="25">
        <f t="shared" si="0"/>
        <v>0.9370053560233176</v>
      </c>
      <c r="I10" s="26">
        <f t="shared" si="1"/>
        <v>0.9370053560233176</v>
      </c>
      <c r="J10" s="27">
        <v>0.0007329541177645035</v>
      </c>
    </row>
    <row r="11" spans="1:10" ht="12.75">
      <c r="A11" s="66" t="s">
        <v>43</v>
      </c>
      <c r="B11" s="67">
        <v>180</v>
      </c>
      <c r="C11" s="68">
        <v>0.25</v>
      </c>
      <c r="D11" s="67">
        <v>1750</v>
      </c>
      <c r="E11" s="69">
        <v>1.6</v>
      </c>
      <c r="F11" s="68">
        <v>1.36</v>
      </c>
      <c r="G11" s="68">
        <v>9.403</v>
      </c>
      <c r="H11" s="25">
        <f t="shared" si="0"/>
        <v>0.9001177874987045</v>
      </c>
      <c r="I11" s="26">
        <f>H11</f>
        <v>0.9001177874987045</v>
      </c>
      <c r="J11" s="27">
        <v>0.0007329541177645035</v>
      </c>
    </row>
    <row r="12" spans="1:10" ht="12.75">
      <c r="A12" s="66" t="s">
        <v>44</v>
      </c>
      <c r="B12" s="67">
        <v>180</v>
      </c>
      <c r="C12" s="68">
        <v>0.37</v>
      </c>
      <c r="D12" s="67">
        <v>1750</v>
      </c>
      <c r="E12" s="69">
        <v>2.4</v>
      </c>
      <c r="F12" s="68">
        <v>2.04</v>
      </c>
      <c r="G12" s="68">
        <v>6.909</v>
      </c>
      <c r="H12" s="25">
        <f t="shared" si="0"/>
        <v>0.8917318680743517</v>
      </c>
      <c r="I12" s="26">
        <f>H12</f>
        <v>0.8917318680743517</v>
      </c>
      <c r="J12" s="27">
        <v>0.0011242294936497014</v>
      </c>
    </row>
    <row r="13" spans="1:10" ht="12.75">
      <c r="A13" s="66" t="s">
        <v>45</v>
      </c>
      <c r="B13" s="67">
        <v>180</v>
      </c>
      <c r="C13" s="68">
        <v>0.37</v>
      </c>
      <c r="D13" s="67">
        <v>1750</v>
      </c>
      <c r="E13" s="69">
        <v>2.5</v>
      </c>
      <c r="F13" s="68">
        <v>2.04</v>
      </c>
      <c r="G13" s="68">
        <v>3.454</v>
      </c>
      <c r="H13" s="25">
        <f t="shared" si="0"/>
        <v>0.9350944053580337</v>
      </c>
      <c r="I13" s="26">
        <f t="shared" si="1"/>
        <v>0.9350944053580337</v>
      </c>
      <c r="J13" s="27">
        <v>0.0011242294936497014</v>
      </c>
    </row>
    <row r="14" spans="1:10" ht="12.75">
      <c r="A14" s="66" t="s">
        <v>46</v>
      </c>
      <c r="B14" s="67">
        <v>180</v>
      </c>
      <c r="C14" s="68">
        <v>0.56</v>
      </c>
      <c r="D14" s="67">
        <v>1750</v>
      </c>
      <c r="E14" s="69">
        <v>3.7</v>
      </c>
      <c r="F14" s="68">
        <v>3.06</v>
      </c>
      <c r="G14" s="68">
        <v>3.367</v>
      </c>
      <c r="H14" s="25">
        <f t="shared" si="0"/>
        <v>0.9142338305484563</v>
      </c>
      <c r="I14" s="26">
        <f t="shared" si="1"/>
        <v>0.9142338305484563</v>
      </c>
      <c r="J14" s="27">
        <v>0.0017437488388012653</v>
      </c>
    </row>
    <row r="15" spans="1:10" ht="12.75">
      <c r="A15" s="66" t="s">
        <v>47</v>
      </c>
      <c r="B15" s="67">
        <v>180</v>
      </c>
      <c r="C15" s="68">
        <v>0.75</v>
      </c>
      <c r="D15" s="67">
        <v>1750</v>
      </c>
      <c r="E15" s="69">
        <v>5</v>
      </c>
      <c r="F15" s="68">
        <v>4.08</v>
      </c>
      <c r="G15" s="68">
        <v>2.477</v>
      </c>
      <c r="H15" s="25">
        <f t="shared" si="0"/>
        <v>0.9146316269605043</v>
      </c>
      <c r="I15" s="26">
        <f t="shared" si="1"/>
        <v>0.9146316269605043</v>
      </c>
      <c r="J15" s="27">
        <v>0.002363268183952829</v>
      </c>
    </row>
    <row r="16" spans="1:10" ht="12.75">
      <c r="A16" s="66" t="s">
        <v>48</v>
      </c>
      <c r="B16" s="67">
        <v>180</v>
      </c>
      <c r="C16" s="68">
        <v>1.12</v>
      </c>
      <c r="D16" s="67">
        <v>1750</v>
      </c>
      <c r="E16" s="69">
        <v>7.7</v>
      </c>
      <c r="F16" s="68">
        <v>6.12</v>
      </c>
      <c r="G16" s="68">
        <v>1.52</v>
      </c>
      <c r="H16" s="25">
        <f t="shared" si="0"/>
        <v>0.9183476675174955</v>
      </c>
      <c r="I16" s="26">
        <f t="shared" si="1"/>
        <v>0.9183476675174955</v>
      </c>
      <c r="J16" s="27">
        <v>0.0035697005929321898</v>
      </c>
    </row>
    <row r="17" spans="1:10" ht="12.75">
      <c r="A17" s="66" t="s">
        <v>49</v>
      </c>
      <c r="B17" s="67">
        <v>180</v>
      </c>
      <c r="C17" s="68">
        <v>1.51</v>
      </c>
      <c r="D17" s="67">
        <v>1750</v>
      </c>
      <c r="E17" s="69">
        <v>9.6</v>
      </c>
      <c r="F17" s="68">
        <v>8.16</v>
      </c>
      <c r="G17" s="68">
        <v>1.109</v>
      </c>
      <c r="H17" s="25">
        <f t="shared" si="0"/>
        <v>0.9241187166996895</v>
      </c>
      <c r="I17" s="26">
        <f t="shared" si="1"/>
        <v>0.9241187166996895</v>
      </c>
      <c r="J17" s="27">
        <v>0.004841345564559083</v>
      </c>
    </row>
    <row r="18" spans="1:10" ht="12.75">
      <c r="A18" s="66" t="s">
        <v>50</v>
      </c>
      <c r="B18" s="67">
        <v>180</v>
      </c>
      <c r="C18" s="68">
        <v>2.23</v>
      </c>
      <c r="D18" s="67">
        <v>1750</v>
      </c>
      <c r="E18" s="69">
        <v>14</v>
      </c>
      <c r="F18" s="68">
        <v>12.24</v>
      </c>
      <c r="G18" s="68">
        <v>0.547</v>
      </c>
      <c r="H18" s="25">
        <f t="shared" si="0"/>
        <v>0.9404256412232034</v>
      </c>
      <c r="I18" s="26">
        <f t="shared" si="1"/>
        <v>0.9404256412232034</v>
      </c>
      <c r="J18" s="27">
        <v>0.007286816663841569</v>
      </c>
    </row>
    <row r="19" spans="1:10" ht="13.5" thickBot="1">
      <c r="A19" s="70" t="s">
        <v>51</v>
      </c>
      <c r="B19" s="71">
        <v>180</v>
      </c>
      <c r="C19" s="72">
        <v>3.73</v>
      </c>
      <c r="D19" s="71">
        <v>1750</v>
      </c>
      <c r="E19" s="73">
        <v>24.5</v>
      </c>
      <c r="F19" s="72">
        <v>20.4</v>
      </c>
      <c r="G19" s="72">
        <v>0.367</v>
      </c>
      <c r="H19" s="28">
        <f t="shared" si="0"/>
        <v>0.9331490772250418</v>
      </c>
      <c r="I19" s="29">
        <f t="shared" si="1"/>
        <v>0.9331490772250418</v>
      </c>
      <c r="J19" s="30">
        <v>0.012145152581082778</v>
      </c>
    </row>
    <row r="20" spans="2:10" ht="13.5" thickTop="1">
      <c r="B20"/>
      <c r="C20"/>
      <c r="D20"/>
      <c r="E20"/>
      <c r="F20"/>
      <c r="G20"/>
      <c r="H20"/>
      <c r="I20"/>
      <c r="J20"/>
    </row>
    <row r="21" spans="2:10" ht="12.75">
      <c r="B21"/>
      <c r="C21"/>
      <c r="D21"/>
      <c r="E21"/>
      <c r="F21"/>
      <c r="G21"/>
      <c r="H21"/>
      <c r="I21"/>
      <c r="J21"/>
    </row>
    <row r="22" spans="2:10" ht="12.75">
      <c r="B22"/>
      <c r="C22"/>
      <c r="D22"/>
      <c r="E22"/>
      <c r="F22"/>
      <c r="G22"/>
      <c r="H22"/>
      <c r="I22"/>
      <c r="J22"/>
    </row>
    <row r="24" ht="13.5" thickBot="1">
      <c r="A24" s="1" t="s">
        <v>122</v>
      </c>
    </row>
    <row r="25" spans="1:10" ht="13.5" thickTop="1">
      <c r="A25" s="12" t="s">
        <v>0</v>
      </c>
      <c r="B25" s="13" t="s">
        <v>31</v>
      </c>
      <c r="C25" s="14" t="s">
        <v>32</v>
      </c>
      <c r="D25" s="13" t="s">
        <v>33</v>
      </c>
      <c r="E25" s="15" t="s">
        <v>54</v>
      </c>
      <c r="F25" s="14" t="s">
        <v>55</v>
      </c>
      <c r="G25" s="14" t="s">
        <v>5</v>
      </c>
      <c r="H25" s="16" t="s">
        <v>8</v>
      </c>
      <c r="I25" s="16" t="s">
        <v>6</v>
      </c>
      <c r="J25" s="17" t="s">
        <v>57</v>
      </c>
    </row>
    <row r="26" spans="1:10" s="81" customFormat="1" ht="12.75">
      <c r="A26" s="74" t="s">
        <v>47</v>
      </c>
      <c r="B26" s="75">
        <v>180</v>
      </c>
      <c r="C26" s="76">
        <v>0.75</v>
      </c>
      <c r="D26" s="75">
        <v>1750</v>
      </c>
      <c r="E26" s="77">
        <v>5</v>
      </c>
      <c r="F26" s="76">
        <v>4.08</v>
      </c>
      <c r="G26" s="76">
        <v>2.477</v>
      </c>
      <c r="H26" s="58">
        <f>(B26-E26*G26)/(D26*PI()/30)</f>
        <v>0.9146316269605043</v>
      </c>
      <c r="I26" s="59">
        <f>H26</f>
        <v>0.9146316269605043</v>
      </c>
      <c r="J26" s="60">
        <v>0.002363268183952829</v>
      </c>
    </row>
    <row r="27" spans="1:10" ht="12.75">
      <c r="A27" s="160" t="s">
        <v>121</v>
      </c>
      <c r="B27" s="160"/>
      <c r="C27" s="160"/>
      <c r="D27" s="160"/>
      <c r="E27" s="160"/>
      <c r="F27" s="160"/>
      <c r="G27" s="160"/>
      <c r="H27" s="160"/>
      <c r="I27" s="160"/>
      <c r="J27" s="160"/>
    </row>
  </sheetData>
  <sheetProtection sheet="1" objects="1" scenarios="1"/>
  <mergeCells count="2">
    <mergeCell ref="A1:J1"/>
    <mergeCell ref="A27:J27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39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28.421875" style="84" customWidth="1"/>
    <col min="2" max="2" width="9.8515625" style="84" customWidth="1"/>
    <col min="3" max="3" width="3.57421875" style="84" customWidth="1"/>
    <col min="4" max="4" width="13.28125" style="85" customWidth="1"/>
    <col min="5" max="5" width="9.421875" style="85" customWidth="1"/>
    <col min="6" max="6" width="7.8515625" style="85" customWidth="1"/>
    <col min="7" max="7" width="13.8515625" style="85" customWidth="1"/>
    <col min="8" max="8" width="2.8515625" style="84" customWidth="1"/>
    <col min="9" max="9" width="8.28125" style="84" customWidth="1"/>
    <col min="10" max="10" width="8.28125" style="86" customWidth="1"/>
    <col min="11" max="11" width="7.28125" style="84" customWidth="1"/>
    <col min="12" max="12" width="6.140625" style="84" customWidth="1"/>
    <col min="13" max="13" width="6.57421875" style="84" customWidth="1"/>
    <col min="14" max="14" width="8.00390625" style="84" customWidth="1"/>
    <col min="15" max="15" width="10.140625" style="84" customWidth="1"/>
    <col min="16" max="16" width="9.140625" style="84" customWidth="1"/>
    <col min="17" max="17" width="8.140625" style="84" customWidth="1"/>
    <col min="18" max="18" width="7.140625" style="84" customWidth="1"/>
    <col min="19" max="19" width="11.00390625" style="84" customWidth="1"/>
    <col min="20" max="20" width="4.7109375" style="84" customWidth="1"/>
    <col min="21" max="21" width="14.57421875" style="84" customWidth="1"/>
    <col min="22" max="22" width="11.7109375" style="84" customWidth="1"/>
    <col min="23" max="16384" width="9.140625" style="84" customWidth="1"/>
  </cols>
  <sheetData>
    <row r="1" ht="12.75"/>
    <row r="2" ht="12.75"/>
    <row r="3" spans="1:2" ht="12.75">
      <c r="A3" s="161" t="s">
        <v>17</v>
      </c>
      <c r="B3" s="162"/>
    </row>
    <row r="4" spans="1:22" s="88" customFormat="1" ht="12.75">
      <c r="A4" s="87" t="s">
        <v>18</v>
      </c>
      <c r="B4" s="6">
        <v>180</v>
      </c>
      <c r="C4" s="84"/>
      <c r="D4" s="165" t="s">
        <v>75</v>
      </c>
      <c r="E4" s="167"/>
      <c r="F4" s="167"/>
      <c r="G4" s="167"/>
      <c r="I4" s="165" t="s">
        <v>71</v>
      </c>
      <c r="J4" s="165"/>
      <c r="K4" s="166"/>
      <c r="L4" s="166"/>
      <c r="M4" s="166"/>
      <c r="N4" s="166"/>
      <c r="O4" s="166"/>
      <c r="Q4" s="165" t="s">
        <v>79</v>
      </c>
      <c r="R4" s="165"/>
      <c r="S4" s="165"/>
      <c r="U4" s="165" t="s">
        <v>82</v>
      </c>
      <c r="V4" s="165"/>
    </row>
    <row r="5" spans="1:22" ht="15.75">
      <c r="A5" s="87" t="s">
        <v>19</v>
      </c>
      <c r="B5" s="6">
        <v>265</v>
      </c>
      <c r="D5" s="89" t="s">
        <v>67</v>
      </c>
      <c r="E5" s="164" t="s">
        <v>76</v>
      </c>
      <c r="F5" s="164"/>
      <c r="G5" s="89" t="s">
        <v>63</v>
      </c>
      <c r="I5" s="90" t="s">
        <v>59</v>
      </c>
      <c r="J5" s="91" t="s">
        <v>59</v>
      </c>
      <c r="K5" s="92" t="s">
        <v>60</v>
      </c>
      <c r="L5" s="93" t="s">
        <v>61</v>
      </c>
      <c r="M5" s="90" t="s">
        <v>62</v>
      </c>
      <c r="N5" s="90" t="s">
        <v>84</v>
      </c>
      <c r="O5" s="94" t="s">
        <v>11</v>
      </c>
      <c r="Q5" s="168" t="s">
        <v>80</v>
      </c>
      <c r="R5" s="168"/>
      <c r="S5" s="89" t="s">
        <v>106</v>
      </c>
      <c r="U5" s="95" t="s">
        <v>81</v>
      </c>
      <c r="V5" s="95" t="s">
        <v>11</v>
      </c>
    </row>
    <row r="6" spans="1:22" ht="12.75">
      <c r="A6" s="96" t="s">
        <v>85</v>
      </c>
      <c r="B6" s="169">
        <v>0.068</v>
      </c>
      <c r="D6" s="89" t="s">
        <v>68</v>
      </c>
      <c r="E6" s="89" t="s">
        <v>69</v>
      </c>
      <c r="F6" s="89" t="s">
        <v>33</v>
      </c>
      <c r="G6" s="89" t="s">
        <v>77</v>
      </c>
      <c r="I6" s="89" t="s">
        <v>69</v>
      </c>
      <c r="J6" s="97" t="s">
        <v>33</v>
      </c>
      <c r="K6" s="89" t="s">
        <v>72</v>
      </c>
      <c r="L6" s="89" t="s">
        <v>73</v>
      </c>
      <c r="M6" s="89" t="s">
        <v>74</v>
      </c>
      <c r="N6" s="89" t="s">
        <v>70</v>
      </c>
      <c r="O6" s="89" t="s">
        <v>83</v>
      </c>
      <c r="Q6" s="89" t="s">
        <v>74</v>
      </c>
      <c r="R6" s="89" t="s">
        <v>83</v>
      </c>
      <c r="S6" s="89" t="s">
        <v>107</v>
      </c>
      <c r="U6" s="95" t="s">
        <v>70</v>
      </c>
      <c r="V6" s="95" t="s">
        <v>83</v>
      </c>
    </row>
    <row r="7" spans="4:22" ht="12.75">
      <c r="D7" s="80">
        <f>minimum_speed</f>
        <v>0.26</v>
      </c>
      <c r="E7" s="98">
        <f>rotation_const*SQRT(dynamic_head)*D7</f>
        <v>17.958939777001014</v>
      </c>
      <c r="F7" s="99">
        <f>E7*30/PI()</f>
        <v>171.4952422919623</v>
      </c>
      <c r="G7" s="78">
        <f>(stall_torque*(1-D7)-visc.friction_coeff*E7)*E7</f>
        <v>585.852365937872</v>
      </c>
      <c r="I7" s="100">
        <f>E7*pulley_step_up_ratio</f>
        <v>125.7125784390071</v>
      </c>
      <c r="J7" s="101">
        <f>F7*pulley_step_up_ratio</f>
        <v>1200.4666960437362</v>
      </c>
      <c r="K7" s="102">
        <f>G7*belt_pulley_efficiency/I7</f>
        <v>4.4272399353498955</v>
      </c>
      <c r="L7" s="102">
        <f>(K7-Dv_gen*I7)/Kt_gen</f>
        <v>4.515640260688978</v>
      </c>
      <c r="M7" s="103">
        <f>Ke_gen*I7-L7*resistance_gen</f>
        <v>103.79545922134247</v>
      </c>
      <c r="N7" s="104">
        <f>L7*M7</f>
        <v>468.70295453659514</v>
      </c>
      <c r="O7" s="105">
        <f>N7/(I7*K7)</f>
        <v>0.8421431059706148</v>
      </c>
      <c r="Q7" s="100">
        <f>L7*cable_resistance</f>
        <v>10.837536625653547</v>
      </c>
      <c r="R7" s="106">
        <f>Q7/M7</f>
        <v>0.10441243486906918</v>
      </c>
      <c r="S7" s="103">
        <f>M7-Q7</f>
        <v>92.95792259568893</v>
      </c>
      <c r="U7" s="100">
        <f>S7*L7*Maximizer_efficiency</f>
        <v>402.9739563101785</v>
      </c>
      <c r="V7" s="106">
        <f>U7/hydraulic_power</f>
        <v>0.32070242501415397</v>
      </c>
    </row>
    <row r="8" spans="1:22" ht="12.75">
      <c r="A8" s="163" t="s">
        <v>78</v>
      </c>
      <c r="B8" s="164"/>
      <c r="D8" s="80">
        <f>D7+(maximum_speed-minimum_speed)/20</f>
        <v>0.2745</v>
      </c>
      <c r="E8" s="98">
        <f aca="true" t="shared" si="0" ref="E8:E27">rotation_const*SQRT(dynamic_head)*D8</f>
        <v>18.9604960337953</v>
      </c>
      <c r="F8" s="99">
        <f aca="true" t="shared" si="1" ref="F8:F27">E8*30/PI()</f>
        <v>181.0594000351679</v>
      </c>
      <c r="G8" s="78">
        <f aca="true" t="shared" si="2" ref="G8:G27">(stall_torque*(1-D8)-visc.friction_coeff*E8)*E8</f>
        <v>604.6601296918532</v>
      </c>
      <c r="I8" s="100">
        <f aca="true" t="shared" si="3" ref="I8:I27">E8*pulley_step_up_ratio</f>
        <v>132.72347223656712</v>
      </c>
      <c r="J8" s="101">
        <f aca="true" t="shared" si="4" ref="J8:J26">F8*pulley_step_up_ratio</f>
        <v>1267.4158002461752</v>
      </c>
      <c r="K8" s="102">
        <f aca="true" t="shared" si="5" ref="K8:K27">G8*belt_pulley_efficiency/I8</f>
        <v>4.327999513028096</v>
      </c>
      <c r="L8" s="102">
        <f aca="true" t="shared" si="6" ref="L8:L27">(K8-Dv_gen*I8)/Kt_gen</f>
        <v>4.389022023181162</v>
      </c>
      <c r="M8" s="103">
        <f aca="true" t="shared" si="7" ref="M8:M27">Ke_gen*I8-L8*resistance_gen</f>
        <v>110.52147779615896</v>
      </c>
      <c r="N8" s="104">
        <f aca="true" t="shared" si="8" ref="N8:N27">L8*M8</f>
        <v>485.08120008186944</v>
      </c>
      <c r="O8" s="105">
        <f aca="true" t="shared" si="9" ref="O8:O27">N8/(I8*K8)</f>
        <v>0.8444608210236725</v>
      </c>
      <c r="Q8" s="100">
        <f aca="true" t="shared" si="10" ref="Q8:Q27">L8*cable_resistance</f>
        <v>10.533652855634788</v>
      </c>
      <c r="R8" s="106">
        <f aca="true" t="shared" si="11" ref="R8:R27">Q8/M8</f>
        <v>0.09530865009842342</v>
      </c>
      <c r="S8" s="103">
        <f aca="true" t="shared" si="12" ref="S8:S27">M8-Q8</f>
        <v>99.98782494052418</v>
      </c>
      <c r="U8" s="100">
        <f aca="true" t="shared" si="13" ref="U8:U27">S8*L8*Maximizer_efficiency</f>
        <v>421.2948150853855</v>
      </c>
      <c r="V8" s="106">
        <f aca="true" t="shared" si="14" ref="V8:V27">U8/hydraulic_power</f>
        <v>0.3352828805139337</v>
      </c>
    </row>
    <row r="9" spans="1:22" ht="12.75">
      <c r="A9" s="107" t="s">
        <v>101</v>
      </c>
      <c r="B9" s="40">
        <f>'hydraulic data sheet'!B10</f>
        <v>0.26</v>
      </c>
      <c r="D9" s="80">
        <f aca="true" t="shared" si="15" ref="D9:D27">D8+(maximum_speed-minimum_speed)/20</f>
        <v>0.28900000000000003</v>
      </c>
      <c r="E9" s="98">
        <f t="shared" si="0"/>
        <v>19.96205229058959</v>
      </c>
      <c r="F9" s="99">
        <f t="shared" si="1"/>
        <v>190.6235577783735</v>
      </c>
      <c r="G9" s="78">
        <f t="shared" si="2"/>
        <v>622.0031270009432</v>
      </c>
      <c r="I9" s="100">
        <f t="shared" si="3"/>
        <v>139.73436603412713</v>
      </c>
      <c r="J9" s="101">
        <f t="shared" si="4"/>
        <v>1334.3649044486147</v>
      </c>
      <c r="K9" s="102">
        <f t="shared" si="5"/>
        <v>4.228759090706295</v>
      </c>
      <c r="L9" s="102">
        <f t="shared" si="6"/>
        <v>4.262403785673344</v>
      </c>
      <c r="M9" s="103">
        <f t="shared" si="7"/>
        <v>117.24749637097545</v>
      </c>
      <c r="N9" s="104">
        <f t="shared" si="8"/>
        <v>499.75617239236743</v>
      </c>
      <c r="O9" s="105">
        <f t="shared" si="9"/>
        <v>0.8457499745548278</v>
      </c>
      <c r="Q9" s="100">
        <f t="shared" si="10"/>
        <v>10.229769085616025</v>
      </c>
      <c r="R9" s="106">
        <f t="shared" si="11"/>
        <v>0.08724936055989335</v>
      </c>
      <c r="S9" s="103">
        <f t="shared" si="12"/>
        <v>107.01772728535943</v>
      </c>
      <c r="U9" s="100">
        <f t="shared" si="13"/>
        <v>437.9066552786626</v>
      </c>
      <c r="V9" s="106">
        <f t="shared" si="14"/>
        <v>0.34850323222775725</v>
      </c>
    </row>
    <row r="10" spans="1:22" ht="12.75">
      <c r="A10" s="107" t="s">
        <v>66</v>
      </c>
      <c r="B10" s="40">
        <f>'hydraulic data sheet'!B11</f>
        <v>0.55</v>
      </c>
      <c r="D10" s="80">
        <f t="shared" si="15"/>
        <v>0.30350000000000005</v>
      </c>
      <c r="E10" s="98">
        <f t="shared" si="0"/>
        <v>20.963608547383878</v>
      </c>
      <c r="F10" s="99">
        <f t="shared" si="1"/>
        <v>200.1877155215791</v>
      </c>
      <c r="G10" s="78">
        <f t="shared" si="2"/>
        <v>637.8813578651425</v>
      </c>
      <c r="I10" s="100">
        <f t="shared" si="3"/>
        <v>146.74525983168715</v>
      </c>
      <c r="J10" s="101">
        <f t="shared" si="4"/>
        <v>1401.3140086510537</v>
      </c>
      <c r="K10" s="102">
        <f t="shared" si="5"/>
        <v>4.129518668384494</v>
      </c>
      <c r="L10" s="102">
        <f t="shared" si="6"/>
        <v>4.1357855481655275</v>
      </c>
      <c r="M10" s="103">
        <f t="shared" si="7"/>
        <v>123.97351494579193</v>
      </c>
      <c r="N10" s="104">
        <f t="shared" si="8"/>
        <v>512.7278714680893</v>
      </c>
      <c r="O10" s="105">
        <f t="shared" si="9"/>
        <v>0.8461033423520767</v>
      </c>
      <c r="Q10" s="100">
        <f t="shared" si="10"/>
        <v>9.925885315597265</v>
      </c>
      <c r="R10" s="106">
        <f t="shared" si="11"/>
        <v>0.08006456314429264</v>
      </c>
      <c r="S10" s="103">
        <f t="shared" si="12"/>
        <v>114.04762963019466</v>
      </c>
      <c r="U10" s="100">
        <f t="shared" si="13"/>
        <v>452.80947689000993</v>
      </c>
      <c r="V10" s="106">
        <f t="shared" si="14"/>
        <v>0.36036348015562497</v>
      </c>
    </row>
    <row r="11" spans="4:22" ht="12.75">
      <c r="D11" s="80">
        <f t="shared" si="15"/>
        <v>0.31800000000000006</v>
      </c>
      <c r="E11" s="98">
        <f t="shared" si="0"/>
        <v>21.965164804178166</v>
      </c>
      <c r="F11" s="99">
        <f t="shared" si="1"/>
        <v>209.7518732647847</v>
      </c>
      <c r="G11" s="78">
        <f t="shared" si="2"/>
        <v>652.294822284451</v>
      </c>
      <c r="H11" s="108"/>
      <c r="I11" s="100">
        <f t="shared" si="3"/>
        <v>153.75615362924717</v>
      </c>
      <c r="J11" s="101">
        <f t="shared" si="4"/>
        <v>1468.2631128534929</v>
      </c>
      <c r="K11" s="102">
        <f t="shared" si="5"/>
        <v>4.030278246062694</v>
      </c>
      <c r="L11" s="102">
        <f t="shared" si="6"/>
        <v>4.00916731065771</v>
      </c>
      <c r="M11" s="103">
        <f t="shared" si="7"/>
        <v>130.69953352060844</v>
      </c>
      <c r="N11" s="104">
        <f t="shared" si="8"/>
        <v>523.996297309035</v>
      </c>
      <c r="O11" s="105">
        <f t="shared" si="9"/>
        <v>0.8455916419315909</v>
      </c>
      <c r="Q11" s="100">
        <f t="shared" si="10"/>
        <v>9.622001545578504</v>
      </c>
      <c r="R11" s="106">
        <f t="shared" si="11"/>
        <v>0.07361924933007757</v>
      </c>
      <c r="S11" s="103">
        <f t="shared" si="12"/>
        <v>121.07753197502994</v>
      </c>
      <c r="U11" s="100">
        <f t="shared" si="13"/>
        <v>466.0032799194275</v>
      </c>
      <c r="V11" s="106">
        <f t="shared" si="14"/>
        <v>0.37086362429753666</v>
      </c>
    </row>
    <row r="12" spans="1:22" ht="12.75">
      <c r="A12" s="82" t="s">
        <v>23</v>
      </c>
      <c r="B12" s="83"/>
      <c r="D12" s="80">
        <f t="shared" si="15"/>
        <v>0.3325000000000001</v>
      </c>
      <c r="E12" s="98">
        <f t="shared" si="0"/>
        <v>22.966721060972453</v>
      </c>
      <c r="F12" s="99">
        <f t="shared" si="1"/>
        <v>219.3160310079903</v>
      </c>
      <c r="G12" s="78">
        <f t="shared" si="2"/>
        <v>665.2435202588687</v>
      </c>
      <c r="I12" s="100">
        <f t="shared" si="3"/>
        <v>160.76704742680718</v>
      </c>
      <c r="J12" s="101">
        <f t="shared" si="4"/>
        <v>1535.2122170559321</v>
      </c>
      <c r="K12" s="102">
        <f t="shared" si="5"/>
        <v>3.9310378237408945</v>
      </c>
      <c r="L12" s="102">
        <f t="shared" si="6"/>
        <v>3.882549073149894</v>
      </c>
      <c r="M12" s="103">
        <f t="shared" si="7"/>
        <v>137.4255520954249</v>
      </c>
      <c r="N12" s="104">
        <f t="shared" si="8"/>
        <v>533.5614499152044</v>
      </c>
      <c r="O12" s="105">
        <f t="shared" si="9"/>
        <v>0.8442677220984196</v>
      </c>
      <c r="Q12" s="100">
        <f t="shared" si="10"/>
        <v>9.318117775559745</v>
      </c>
      <c r="R12" s="106">
        <f t="shared" si="11"/>
        <v>0.06780484148311425</v>
      </c>
      <c r="S12" s="103">
        <f t="shared" si="12"/>
        <v>128.10743431986515</v>
      </c>
      <c r="U12" s="100">
        <f t="shared" si="13"/>
        <v>477.48806436691524</v>
      </c>
      <c r="V12" s="106">
        <f t="shared" si="14"/>
        <v>0.38000366465349233</v>
      </c>
    </row>
    <row r="13" spans="1:22" ht="12.75">
      <c r="A13" s="109" t="s">
        <v>24</v>
      </c>
      <c r="B13" s="41">
        <f>INDEX('hydraulic data sheet'!H7:H31,'hydraulic data sheet'!B15)</f>
        <v>4.27393</v>
      </c>
      <c r="D13" s="80">
        <f t="shared" si="15"/>
        <v>0.3470000000000001</v>
      </c>
      <c r="E13" s="98">
        <f t="shared" si="0"/>
        <v>23.96827731776674</v>
      </c>
      <c r="F13" s="99">
        <f t="shared" si="1"/>
        <v>228.88018875119587</v>
      </c>
      <c r="G13" s="78">
        <f t="shared" si="2"/>
        <v>676.7274517883955</v>
      </c>
      <c r="I13" s="100">
        <f t="shared" si="3"/>
        <v>167.7779412243672</v>
      </c>
      <c r="J13" s="101">
        <f t="shared" si="4"/>
        <v>1602.1613212583711</v>
      </c>
      <c r="K13" s="102">
        <f t="shared" si="5"/>
        <v>3.8317974014190934</v>
      </c>
      <c r="L13" s="102">
        <f t="shared" si="6"/>
        <v>3.755930835642076</v>
      </c>
      <c r="M13" s="103">
        <f t="shared" si="7"/>
        <v>144.1515706702414</v>
      </c>
      <c r="N13" s="104">
        <f t="shared" si="8"/>
        <v>541.4233292865975</v>
      </c>
      <c r="O13" s="105">
        <f t="shared" si="9"/>
        <v>0.8421696097590838</v>
      </c>
      <c r="Q13" s="100">
        <f t="shared" si="10"/>
        <v>9.014234005540983</v>
      </c>
      <c r="R13" s="106">
        <f t="shared" si="11"/>
        <v>0.06253302661655895</v>
      </c>
      <c r="S13" s="103">
        <f t="shared" si="12"/>
        <v>135.13733666470043</v>
      </c>
      <c r="U13" s="100">
        <f t="shared" si="13"/>
        <v>487.26383023247314</v>
      </c>
      <c r="V13" s="106">
        <f t="shared" si="14"/>
        <v>0.38778360122349204</v>
      </c>
    </row>
    <row r="14" spans="1:22" ht="12.75">
      <c r="A14" s="109" t="s">
        <v>25</v>
      </c>
      <c r="B14" s="42">
        <f>INDEX('hydraulic data sheet'!E7:E31,'hydraulic data sheet'!B15)</f>
        <v>30</v>
      </c>
      <c r="D14" s="80">
        <f t="shared" si="15"/>
        <v>0.3615000000000001</v>
      </c>
      <c r="E14" s="98">
        <f t="shared" si="0"/>
        <v>24.96983357456103</v>
      </c>
      <c r="F14" s="99">
        <f t="shared" si="1"/>
        <v>238.4443464944015</v>
      </c>
      <c r="G14" s="78">
        <f t="shared" si="2"/>
        <v>686.7466168730313</v>
      </c>
      <c r="I14" s="100">
        <f t="shared" si="3"/>
        <v>174.7888350219272</v>
      </c>
      <c r="J14" s="101">
        <f t="shared" si="4"/>
        <v>1669.1104254608103</v>
      </c>
      <c r="K14" s="102">
        <f t="shared" si="5"/>
        <v>3.732556979097293</v>
      </c>
      <c r="L14" s="102">
        <f t="shared" si="6"/>
        <v>3.629312598134259</v>
      </c>
      <c r="M14" s="103">
        <f t="shared" si="7"/>
        <v>150.8775892450579</v>
      </c>
      <c r="N14" s="104">
        <f t="shared" si="8"/>
        <v>547.5819354232146</v>
      </c>
      <c r="O14" s="105">
        <f t="shared" si="9"/>
        <v>0.8393227183442566</v>
      </c>
      <c r="Q14" s="100">
        <f t="shared" si="10"/>
        <v>8.710350235522222</v>
      </c>
      <c r="R14" s="106">
        <f t="shared" si="11"/>
        <v>0.05773123947105707</v>
      </c>
      <c r="S14" s="103">
        <f t="shared" si="12"/>
        <v>142.16723900953568</v>
      </c>
      <c r="U14" s="100">
        <f t="shared" si="13"/>
        <v>495.33057751610124</v>
      </c>
      <c r="V14" s="106">
        <f t="shared" si="14"/>
        <v>0.3942034340075357</v>
      </c>
    </row>
    <row r="15" spans="4:22" ht="12.75">
      <c r="D15" s="80">
        <f t="shared" si="15"/>
        <v>0.3760000000000001</v>
      </c>
      <c r="E15" s="98">
        <f t="shared" si="0"/>
        <v>25.971389831355317</v>
      </c>
      <c r="F15" s="99">
        <f t="shared" si="1"/>
        <v>248.00850423760707</v>
      </c>
      <c r="G15" s="78">
        <f t="shared" si="2"/>
        <v>695.3010155127765</v>
      </c>
      <c r="H15" s="108"/>
      <c r="I15" s="100">
        <f t="shared" si="3"/>
        <v>181.79972881948723</v>
      </c>
      <c r="J15" s="101">
        <f t="shared" si="4"/>
        <v>1736.0595296632496</v>
      </c>
      <c r="K15" s="102">
        <f t="shared" si="5"/>
        <v>3.6333165567754926</v>
      </c>
      <c r="L15" s="102">
        <f t="shared" si="6"/>
        <v>3.502694360626442</v>
      </c>
      <c r="M15" s="103">
        <f t="shared" si="7"/>
        <v>157.60360781987438</v>
      </c>
      <c r="N15" s="104">
        <f t="shared" si="8"/>
        <v>552.0372683250554</v>
      </c>
      <c r="O15" s="105">
        <f t="shared" si="9"/>
        <v>0.8357414248363302</v>
      </c>
      <c r="Q15" s="100">
        <f t="shared" si="10"/>
        <v>8.40646646550346</v>
      </c>
      <c r="R15" s="106">
        <f t="shared" si="11"/>
        <v>0.053339302201198556</v>
      </c>
      <c r="S15" s="103">
        <f t="shared" si="12"/>
        <v>149.19714135437093</v>
      </c>
      <c r="U15" s="100">
        <f t="shared" si="13"/>
        <v>501.68830621779955</v>
      </c>
      <c r="V15" s="106">
        <f t="shared" si="14"/>
        <v>0.3992631630056234</v>
      </c>
    </row>
    <row r="16" spans="4:22" ht="12.75">
      <c r="D16" s="80">
        <f t="shared" si="15"/>
        <v>0.3905000000000001</v>
      </c>
      <c r="E16" s="98">
        <f t="shared" si="0"/>
        <v>26.972946088149605</v>
      </c>
      <c r="F16" s="99">
        <f t="shared" si="1"/>
        <v>257.57266198081265</v>
      </c>
      <c r="G16" s="78">
        <f t="shared" si="2"/>
        <v>702.3906477076309</v>
      </c>
      <c r="I16" s="100">
        <f t="shared" si="3"/>
        <v>188.81062261704724</v>
      </c>
      <c r="J16" s="101">
        <f t="shared" si="4"/>
        <v>1803.0086338656886</v>
      </c>
      <c r="K16" s="102">
        <f t="shared" si="5"/>
        <v>3.534076134453693</v>
      </c>
      <c r="L16" s="102">
        <f t="shared" si="6"/>
        <v>3.3760761231186263</v>
      </c>
      <c r="M16" s="103">
        <f t="shared" si="7"/>
        <v>164.32962639469088</v>
      </c>
      <c r="N16" s="104">
        <f t="shared" si="8"/>
        <v>554.7893279921202</v>
      </c>
      <c r="O16" s="105">
        <f t="shared" si="9"/>
        <v>0.8314301567275131</v>
      </c>
      <c r="Q16" s="100">
        <f t="shared" si="10"/>
        <v>8.102582695484703</v>
      </c>
      <c r="R16" s="106">
        <f t="shared" si="11"/>
        <v>0.049306889288628475</v>
      </c>
      <c r="S16" s="103">
        <f t="shared" si="12"/>
        <v>156.22704369920618</v>
      </c>
      <c r="U16" s="100">
        <f t="shared" si="13"/>
        <v>506.3370163375682</v>
      </c>
      <c r="V16" s="106">
        <f t="shared" si="14"/>
        <v>0.4029627882177552</v>
      </c>
    </row>
    <row r="17" spans="1:22" ht="12.75">
      <c r="A17" s="82" t="s">
        <v>29</v>
      </c>
      <c r="B17" s="83"/>
      <c r="D17" s="80">
        <f t="shared" si="15"/>
        <v>0.40500000000000014</v>
      </c>
      <c r="E17" s="98">
        <f t="shared" si="0"/>
        <v>27.974502344943893</v>
      </c>
      <c r="F17" s="99">
        <f t="shared" si="1"/>
        <v>267.13681972401827</v>
      </c>
      <c r="G17" s="78">
        <f t="shared" si="2"/>
        <v>708.0155134575942</v>
      </c>
      <c r="I17" s="100">
        <f t="shared" si="3"/>
        <v>195.82151641460726</v>
      </c>
      <c r="J17" s="101">
        <f t="shared" si="4"/>
        <v>1869.9577380681278</v>
      </c>
      <c r="K17" s="102">
        <f t="shared" si="5"/>
        <v>3.434835712131892</v>
      </c>
      <c r="L17" s="102">
        <f t="shared" si="6"/>
        <v>3.2494578856108087</v>
      </c>
      <c r="M17" s="103">
        <f t="shared" si="7"/>
        <v>171.05564496950734</v>
      </c>
      <c r="N17" s="104">
        <f t="shared" si="8"/>
        <v>555.8381144244084</v>
      </c>
      <c r="O17" s="105">
        <f t="shared" si="9"/>
        <v>0.8263840846768912</v>
      </c>
      <c r="Q17" s="100">
        <f t="shared" si="10"/>
        <v>7.79869892546594</v>
      </c>
      <c r="R17" s="106">
        <f t="shared" si="11"/>
        <v>0.045591590542692406</v>
      </c>
      <c r="S17" s="103">
        <f t="shared" si="12"/>
        <v>163.2569460440414</v>
      </c>
      <c r="U17" s="100">
        <f t="shared" si="13"/>
        <v>509.27670787540666</v>
      </c>
      <c r="V17" s="106">
        <f t="shared" si="14"/>
        <v>0.40530230964393077</v>
      </c>
    </row>
    <row r="18" spans="1:22" ht="12.75">
      <c r="A18" s="110" t="s">
        <v>118</v>
      </c>
      <c r="B18" s="170">
        <v>7</v>
      </c>
      <c r="D18" s="80">
        <f t="shared" si="15"/>
        <v>0.41950000000000015</v>
      </c>
      <c r="E18" s="98">
        <f t="shared" si="0"/>
        <v>28.97605860173818</v>
      </c>
      <c r="F18" s="99">
        <f t="shared" si="1"/>
        <v>276.7009774672239</v>
      </c>
      <c r="G18" s="78">
        <f t="shared" si="2"/>
        <v>712.1756127626669</v>
      </c>
      <c r="I18" s="100">
        <f t="shared" si="3"/>
        <v>202.83241021216728</v>
      </c>
      <c r="J18" s="101">
        <f t="shared" si="4"/>
        <v>1936.9068422705673</v>
      </c>
      <c r="K18" s="102">
        <f t="shared" si="5"/>
        <v>3.335595289810092</v>
      </c>
      <c r="L18" s="102">
        <f t="shared" si="6"/>
        <v>3.122839648102992</v>
      </c>
      <c r="M18" s="103">
        <f t="shared" si="7"/>
        <v>177.78166354432383</v>
      </c>
      <c r="N18" s="104">
        <f t="shared" si="8"/>
        <v>555.1836276219208</v>
      </c>
      <c r="O18" s="105">
        <f t="shared" si="9"/>
        <v>0.8205894839369392</v>
      </c>
      <c r="Q18" s="100">
        <f t="shared" si="10"/>
        <v>7.4948151554471805</v>
      </c>
      <c r="R18" s="106">
        <f t="shared" si="11"/>
        <v>0.04215741379638178</v>
      </c>
      <c r="S18" s="103">
        <f t="shared" si="12"/>
        <v>170.28684838887665</v>
      </c>
      <c r="U18" s="100">
        <f t="shared" si="13"/>
        <v>510.50738083131563</v>
      </c>
      <c r="V18" s="106">
        <f t="shared" si="14"/>
        <v>0.4062817272841505</v>
      </c>
    </row>
    <row r="19" spans="1:22" ht="12.75">
      <c r="A19" s="111" t="s">
        <v>119</v>
      </c>
      <c r="B19" s="171">
        <v>0.95</v>
      </c>
      <c r="D19" s="80">
        <f t="shared" si="15"/>
        <v>0.43400000000000016</v>
      </c>
      <c r="E19" s="98">
        <f t="shared" si="0"/>
        <v>29.97761485853247</v>
      </c>
      <c r="F19" s="99">
        <f t="shared" si="1"/>
        <v>286.2651352104295</v>
      </c>
      <c r="G19" s="78">
        <f t="shared" si="2"/>
        <v>714.8709456228487</v>
      </c>
      <c r="H19" s="108"/>
      <c r="I19" s="100">
        <f t="shared" si="3"/>
        <v>209.8433040097273</v>
      </c>
      <c r="J19" s="101">
        <f t="shared" si="4"/>
        <v>2003.8559464730065</v>
      </c>
      <c r="K19" s="102">
        <f t="shared" si="5"/>
        <v>3.2363548674882914</v>
      </c>
      <c r="L19" s="102">
        <f t="shared" si="6"/>
        <v>2.9962214105951746</v>
      </c>
      <c r="M19" s="103">
        <f t="shared" si="7"/>
        <v>184.50768211914036</v>
      </c>
      <c r="N19" s="104">
        <f t="shared" si="8"/>
        <v>552.8258675846567</v>
      </c>
      <c r="O19" s="105">
        <f t="shared" si="9"/>
        <v>0.8140238030957775</v>
      </c>
      <c r="Q19" s="100">
        <f t="shared" si="10"/>
        <v>7.190931385428419</v>
      </c>
      <c r="R19" s="106">
        <f t="shared" si="11"/>
        <v>0.03897361509741957</v>
      </c>
      <c r="S19" s="103">
        <f t="shared" si="12"/>
        <v>177.31675073371193</v>
      </c>
      <c r="U19" s="100">
        <f t="shared" si="13"/>
        <v>510.0290352052947</v>
      </c>
      <c r="V19" s="106">
        <f t="shared" si="14"/>
        <v>0.40590104113841424</v>
      </c>
    </row>
    <row r="20" spans="1:22" ht="12.75">
      <c r="A20" s="111" t="s">
        <v>58</v>
      </c>
      <c r="B20" s="170">
        <v>2.4</v>
      </c>
      <c r="C20" s="84" t="s">
        <v>12</v>
      </c>
      <c r="D20" s="80">
        <f t="shared" si="15"/>
        <v>0.4485000000000002</v>
      </c>
      <c r="E20" s="98">
        <f t="shared" si="0"/>
        <v>30.979171115326757</v>
      </c>
      <c r="F20" s="99">
        <f t="shared" si="1"/>
        <v>295.82929295363505</v>
      </c>
      <c r="G20" s="78">
        <f t="shared" si="2"/>
        <v>716.1015120381397</v>
      </c>
      <c r="I20" s="100">
        <f t="shared" si="3"/>
        <v>216.8541978072873</v>
      </c>
      <c r="J20" s="101">
        <f t="shared" si="4"/>
        <v>2070.8050506754453</v>
      </c>
      <c r="K20" s="102">
        <f t="shared" si="5"/>
        <v>3.1371144451664916</v>
      </c>
      <c r="L20" s="102">
        <f t="shared" si="6"/>
        <v>2.8696031730873583</v>
      </c>
      <c r="M20" s="103">
        <f t="shared" si="7"/>
        <v>191.23370069395682</v>
      </c>
      <c r="N20" s="104">
        <f t="shared" si="8"/>
        <v>548.7648343126167</v>
      </c>
      <c r="O20" s="105">
        <f t="shared" si="9"/>
        <v>0.8066554591809256</v>
      </c>
      <c r="Q20" s="100">
        <f t="shared" si="10"/>
        <v>6.88704761540966</v>
      </c>
      <c r="R20" s="106">
        <f t="shared" si="11"/>
        <v>0.03601377576451041</v>
      </c>
      <c r="S20" s="103">
        <f t="shared" si="12"/>
        <v>184.34665307854715</v>
      </c>
      <c r="U20" s="100">
        <f t="shared" si="13"/>
        <v>507.841670997344</v>
      </c>
      <c r="V20" s="106">
        <f t="shared" si="14"/>
        <v>0.404160251206722</v>
      </c>
    </row>
    <row r="21" spans="1:22" ht="12.75">
      <c r="A21" s="111" t="s">
        <v>120</v>
      </c>
      <c r="B21" s="171">
        <v>0.96</v>
      </c>
      <c r="D21" s="80">
        <f t="shared" si="15"/>
        <v>0.4630000000000002</v>
      </c>
      <c r="E21" s="98">
        <f t="shared" si="0"/>
        <v>31.980727372121045</v>
      </c>
      <c r="F21" s="99">
        <f t="shared" si="1"/>
        <v>305.39345069684066</v>
      </c>
      <c r="G21" s="78">
        <f t="shared" si="2"/>
        <v>715.8673120085398</v>
      </c>
      <c r="I21" s="100">
        <f t="shared" si="3"/>
        <v>223.86509160484732</v>
      </c>
      <c r="J21" s="101">
        <f t="shared" si="4"/>
        <v>2137.7541548778845</v>
      </c>
      <c r="K21" s="102">
        <f t="shared" si="5"/>
        <v>3.037874022844691</v>
      </c>
      <c r="L21" s="102">
        <f t="shared" si="6"/>
        <v>2.7429849355795413</v>
      </c>
      <c r="M21" s="103">
        <f t="shared" si="7"/>
        <v>197.9597192687733</v>
      </c>
      <c r="N21" s="104">
        <f t="shared" si="8"/>
        <v>543.0005278058003</v>
      </c>
      <c r="O21" s="105">
        <f t="shared" si="9"/>
        <v>0.7984433614516757</v>
      </c>
      <c r="Q21" s="100">
        <f t="shared" si="10"/>
        <v>6.5831638453908985</v>
      </c>
      <c r="R21" s="106">
        <f t="shared" si="11"/>
        <v>0.03325506759510415</v>
      </c>
      <c r="S21" s="103">
        <f t="shared" si="12"/>
        <v>191.37655542338243</v>
      </c>
      <c r="U21" s="100">
        <f t="shared" si="13"/>
        <v>503.94528820746353</v>
      </c>
      <c r="V21" s="106">
        <f t="shared" si="14"/>
        <v>0.4010593574890738</v>
      </c>
    </row>
    <row r="22" spans="4:22" ht="12.75">
      <c r="D22" s="80">
        <f t="shared" si="15"/>
        <v>0.4775000000000002</v>
      </c>
      <c r="E22" s="98">
        <f t="shared" si="0"/>
        <v>32.98228362891533</v>
      </c>
      <c r="F22" s="99">
        <f t="shared" si="1"/>
        <v>314.9576084400463</v>
      </c>
      <c r="G22" s="78">
        <f t="shared" si="2"/>
        <v>714.168345534049</v>
      </c>
      <c r="I22" s="100">
        <f t="shared" si="3"/>
        <v>230.87598540240734</v>
      </c>
      <c r="J22" s="101">
        <f t="shared" si="4"/>
        <v>2204.7032590803237</v>
      </c>
      <c r="K22" s="102">
        <f t="shared" si="5"/>
        <v>2.9386336005228904</v>
      </c>
      <c r="L22" s="102">
        <f t="shared" si="6"/>
        <v>2.6163666980717237</v>
      </c>
      <c r="M22" s="103">
        <f t="shared" si="7"/>
        <v>204.68573784358978</v>
      </c>
      <c r="N22" s="104">
        <f t="shared" si="8"/>
        <v>535.5329480642074</v>
      </c>
      <c r="O22" s="105">
        <f t="shared" si="9"/>
        <v>0.789336150536918</v>
      </c>
      <c r="Q22" s="100">
        <f t="shared" si="10"/>
        <v>6.279280075372137</v>
      </c>
      <c r="R22" s="106">
        <f t="shared" si="11"/>
        <v>0.030677662945771223</v>
      </c>
      <c r="S22" s="103">
        <f t="shared" si="12"/>
        <v>198.40645776821765</v>
      </c>
      <c r="U22" s="100">
        <f t="shared" si="13"/>
        <v>498.3398868356529</v>
      </c>
      <c r="V22" s="106">
        <f t="shared" si="14"/>
        <v>0.3965983599854693</v>
      </c>
    </row>
    <row r="23" spans="1:22" ht="12.75">
      <c r="A23" s="82" t="s">
        <v>20</v>
      </c>
      <c r="B23" s="83"/>
      <c r="D23" s="80">
        <f t="shared" si="15"/>
        <v>0.4920000000000002</v>
      </c>
      <c r="E23" s="98">
        <f t="shared" si="0"/>
        <v>33.98383988570962</v>
      </c>
      <c r="F23" s="99">
        <f t="shared" si="1"/>
        <v>324.5217661832518</v>
      </c>
      <c r="G23" s="78">
        <f t="shared" si="2"/>
        <v>711.0046126146675</v>
      </c>
      <c r="I23" s="100">
        <f t="shared" si="3"/>
        <v>237.88687919996735</v>
      </c>
      <c r="J23" s="101">
        <f t="shared" si="4"/>
        <v>2271.652363282763</v>
      </c>
      <c r="K23" s="102">
        <f t="shared" si="5"/>
        <v>2.83939317820109</v>
      </c>
      <c r="L23" s="102">
        <f t="shared" si="6"/>
        <v>2.489748460563907</v>
      </c>
      <c r="M23" s="103">
        <f t="shared" si="7"/>
        <v>211.4117564184063</v>
      </c>
      <c r="N23" s="104">
        <f t="shared" si="8"/>
        <v>526.3620950878388</v>
      </c>
      <c r="O23" s="105">
        <f t="shared" si="9"/>
        <v>0.7792711234499897</v>
      </c>
      <c r="Q23" s="100">
        <f t="shared" si="10"/>
        <v>5.975396305353377</v>
      </c>
      <c r="R23" s="106">
        <f t="shared" si="11"/>
        <v>0.028264257421557172</v>
      </c>
      <c r="S23" s="103">
        <f t="shared" si="12"/>
        <v>205.43636011305293</v>
      </c>
      <c r="U23" s="100">
        <f t="shared" si="13"/>
        <v>491.0254668819129</v>
      </c>
      <c r="V23" s="106">
        <f t="shared" si="14"/>
        <v>0.3907772586959091</v>
      </c>
    </row>
    <row r="24" spans="1:22" ht="12.75">
      <c r="A24" s="109" t="s">
        <v>21</v>
      </c>
      <c r="B24" s="42">
        <f>B4*B5*'turbine efficiency curve'!J8/244</f>
        <v>18.57172131147541</v>
      </c>
      <c r="D24" s="80">
        <f t="shared" si="15"/>
        <v>0.5065000000000002</v>
      </c>
      <c r="E24" s="98">
        <f t="shared" si="0"/>
        <v>34.98539614250391</v>
      </c>
      <c r="F24" s="99">
        <f t="shared" si="1"/>
        <v>334.0859239264575</v>
      </c>
      <c r="G24" s="78">
        <f t="shared" si="2"/>
        <v>706.3761132503951</v>
      </c>
      <c r="I24" s="100">
        <f t="shared" si="3"/>
        <v>244.89777299752737</v>
      </c>
      <c r="J24" s="101">
        <f t="shared" si="4"/>
        <v>2338.6014674852026</v>
      </c>
      <c r="K24" s="102">
        <f t="shared" si="5"/>
        <v>2.7401527558792895</v>
      </c>
      <c r="L24" s="102">
        <f t="shared" si="6"/>
        <v>2.3631302230560896</v>
      </c>
      <c r="M24" s="103">
        <f t="shared" si="7"/>
        <v>218.13777499322276</v>
      </c>
      <c r="N24" s="104">
        <f t="shared" si="8"/>
        <v>515.4879688766936</v>
      </c>
      <c r="O24" s="105">
        <f t="shared" si="9"/>
        <v>0.7681727969398354</v>
      </c>
      <c r="Q24" s="100">
        <f t="shared" si="10"/>
        <v>5.671512535334615</v>
      </c>
      <c r="R24" s="106">
        <f t="shared" si="11"/>
        <v>0.02599968086917005</v>
      </c>
      <c r="S24" s="103">
        <f t="shared" si="12"/>
        <v>212.46626245788815</v>
      </c>
      <c r="U24" s="100">
        <f t="shared" si="13"/>
        <v>482.00202834624275</v>
      </c>
      <c r="V24" s="106">
        <f t="shared" si="14"/>
        <v>0.38359605362039273</v>
      </c>
    </row>
    <row r="25" spans="1:22" ht="12.75">
      <c r="A25" s="109" t="s">
        <v>22</v>
      </c>
      <c r="B25" s="42">
        <f>4.427/(B5/2000)</f>
        <v>33.411320754716975</v>
      </c>
      <c r="D25" s="80">
        <f t="shared" si="15"/>
        <v>0.5210000000000001</v>
      </c>
      <c r="E25" s="98">
        <f t="shared" si="0"/>
        <v>35.98695239929819</v>
      </c>
      <c r="F25" s="99">
        <f t="shared" si="1"/>
        <v>343.650081669663</v>
      </c>
      <c r="G25" s="78">
        <f t="shared" si="2"/>
        <v>700.282847441232</v>
      </c>
      <c r="I25" s="100">
        <f t="shared" si="3"/>
        <v>251.90866679508733</v>
      </c>
      <c r="J25" s="101">
        <f t="shared" si="4"/>
        <v>2405.550571687641</v>
      </c>
      <c r="K25" s="102">
        <f t="shared" si="5"/>
        <v>2.64091233355749</v>
      </c>
      <c r="L25" s="102">
        <f t="shared" si="6"/>
        <v>2.2365119855482742</v>
      </c>
      <c r="M25" s="103">
        <f t="shared" si="7"/>
        <v>224.8637935680392</v>
      </c>
      <c r="N25" s="104">
        <f t="shared" si="8"/>
        <v>502.9105694307726</v>
      </c>
      <c r="O25" s="105">
        <f t="shared" si="9"/>
        <v>0.755951039931276</v>
      </c>
      <c r="Q25" s="100">
        <f t="shared" si="10"/>
        <v>5.367628765315858</v>
      </c>
      <c r="R25" s="106">
        <f t="shared" si="11"/>
        <v>0.02387057818488561</v>
      </c>
      <c r="S25" s="103">
        <f t="shared" si="12"/>
        <v>219.49616480272334</v>
      </c>
      <c r="U25" s="100">
        <f t="shared" si="13"/>
        <v>471.2695712286432</v>
      </c>
      <c r="V25" s="106">
        <f t="shared" si="14"/>
        <v>0.37505474475892064</v>
      </c>
    </row>
    <row r="26" spans="4:22" ht="12.75">
      <c r="D26" s="80">
        <f t="shared" si="15"/>
        <v>0.5355000000000001</v>
      </c>
      <c r="E26" s="98">
        <f t="shared" si="0"/>
        <v>36.98850865609248</v>
      </c>
      <c r="F26" s="99">
        <f t="shared" si="1"/>
        <v>353.2142394128686</v>
      </c>
      <c r="G26" s="78">
        <f t="shared" si="2"/>
        <v>692.724815187178</v>
      </c>
      <c r="I26" s="100">
        <f t="shared" si="3"/>
        <v>258.9195605926474</v>
      </c>
      <c r="J26" s="101">
        <f t="shared" si="4"/>
        <v>2472.49967589008</v>
      </c>
      <c r="K26" s="102">
        <f t="shared" si="5"/>
        <v>2.54167191123569</v>
      </c>
      <c r="L26" s="102">
        <f t="shared" si="6"/>
        <v>2.1098937480404576</v>
      </c>
      <c r="M26" s="103">
        <f t="shared" si="7"/>
        <v>231.5898121428557</v>
      </c>
      <c r="N26" s="104">
        <f t="shared" si="8"/>
        <v>488.62989675007526</v>
      </c>
      <c r="O26" s="105">
        <f t="shared" si="9"/>
        <v>0.7424986783502795</v>
      </c>
      <c r="Q26" s="100">
        <f t="shared" si="10"/>
        <v>5.063744995297098</v>
      </c>
      <c r="R26" s="106">
        <f t="shared" si="11"/>
        <v>0.021865145743861725</v>
      </c>
      <c r="S26" s="103">
        <f t="shared" si="12"/>
        <v>226.5260671475586</v>
      </c>
      <c r="U26" s="100">
        <f t="shared" si="13"/>
        <v>458.8280955291137</v>
      </c>
      <c r="V26" s="106">
        <f t="shared" si="14"/>
        <v>0.3651533321114924</v>
      </c>
    </row>
    <row r="27" spans="4:22" ht="12.75">
      <c r="D27" s="80">
        <f t="shared" si="15"/>
        <v>0.55</v>
      </c>
      <c r="E27" s="98">
        <f t="shared" si="0"/>
        <v>37.99006491288676</v>
      </c>
      <c r="F27" s="99">
        <f t="shared" si="1"/>
        <v>362.7783971560741</v>
      </c>
      <c r="G27" s="78">
        <f t="shared" si="2"/>
        <v>683.7020164882332</v>
      </c>
      <c r="I27" s="100">
        <f t="shared" si="3"/>
        <v>265.93045439020733</v>
      </c>
      <c r="J27" s="101">
        <f>F27*pulley_step_up_ratio</f>
        <v>2539.448780092519</v>
      </c>
      <c r="K27" s="102">
        <f t="shared" si="5"/>
        <v>2.4424314889138903</v>
      </c>
      <c r="L27" s="102">
        <f t="shared" si="6"/>
        <v>1.9832755105326412</v>
      </c>
      <c r="M27" s="103">
        <f t="shared" si="7"/>
        <v>238.31583071767216</v>
      </c>
      <c r="N27" s="104">
        <f t="shared" si="8"/>
        <v>472.64595083460176</v>
      </c>
      <c r="O27" s="105">
        <f t="shared" si="9"/>
        <v>0.7276884395713491</v>
      </c>
      <c r="Q27" s="100">
        <f t="shared" si="10"/>
        <v>4.759861225278339</v>
      </c>
      <c r="R27" s="106">
        <f t="shared" si="11"/>
        <v>0.019972912462190764</v>
      </c>
      <c r="S27" s="103">
        <f t="shared" si="12"/>
        <v>233.5559694923938</v>
      </c>
      <c r="U27" s="100">
        <f t="shared" si="13"/>
        <v>444.67760124765437</v>
      </c>
      <c r="V27" s="106">
        <f t="shared" si="14"/>
        <v>0.35389181567810823</v>
      </c>
    </row>
    <row r="28" spans="1:22" ht="12.75">
      <c r="A28" s="82" t="s">
        <v>52</v>
      </c>
      <c r="B28" s="83"/>
      <c r="V28" s="112" t="s">
        <v>12</v>
      </c>
    </row>
    <row r="29" ht="12.75">
      <c r="A29" s="89" t="s">
        <v>53</v>
      </c>
    </row>
    <row r="30" spans="1:2" ht="12.75">
      <c r="A30" s="113" t="s">
        <v>26</v>
      </c>
      <c r="B30" s="78">
        <f>B24*SQRT(B13)</f>
        <v>38.39422100216712</v>
      </c>
    </row>
    <row r="31" spans="1:2" ht="12.75">
      <c r="A31" s="113" t="s">
        <v>27</v>
      </c>
      <c r="B31" s="79">
        <f>B14/B30</f>
        <v>0.7813675917088325</v>
      </c>
    </row>
    <row r="32" spans="1:2" ht="12.75">
      <c r="A32" s="114" t="s">
        <v>64</v>
      </c>
      <c r="B32" s="80">
        <f>total_efficiency_factor*IF(B31&lt;0.18,0,((Kt*B31-Dc-Dv*(applied_voltage-B31*resistance)/Ke)*(applied_voltage-B31*resistance)/Ke)/(applied_voltage*B31))</f>
        <v>0.6285060229059708</v>
      </c>
    </row>
    <row r="33" spans="1:2" ht="12.75">
      <c r="A33" s="114" t="s">
        <v>28</v>
      </c>
      <c r="B33" s="99">
        <f>9.8*B13*B14</f>
        <v>1256.5354200000002</v>
      </c>
    </row>
    <row r="34" spans="1:2" ht="12.75">
      <c r="A34" s="115" t="s">
        <v>111</v>
      </c>
      <c r="B34" s="98">
        <f>rotation_const*SQRT(dynamic_head)</f>
        <v>69.07284529615774</v>
      </c>
    </row>
    <row r="35" spans="1:2" ht="12.75">
      <c r="A35" s="114" t="s">
        <v>30</v>
      </c>
      <c r="B35" s="98">
        <f>4*B33*B32/(B25*SQRT(B13))</f>
        <v>45.73375114799934</v>
      </c>
    </row>
    <row r="39" spans="1:13" s="88" customFormat="1" ht="12.75">
      <c r="A39" s="84"/>
      <c r="B39" s="84"/>
      <c r="C39" s="84"/>
      <c r="D39" s="85"/>
      <c r="E39" s="85"/>
      <c r="F39" s="85"/>
      <c r="G39" s="85"/>
      <c r="H39" s="84"/>
      <c r="I39" s="84"/>
      <c r="J39" s="86"/>
      <c r="K39" s="84"/>
      <c r="L39" s="84"/>
      <c r="M39" s="84"/>
    </row>
  </sheetData>
  <sheetProtection sheet="1" objects="1" scenarios="1"/>
  <mergeCells count="8">
    <mergeCell ref="A3:B3"/>
    <mergeCell ref="A8:B8"/>
    <mergeCell ref="U4:V4"/>
    <mergeCell ref="E5:F5"/>
    <mergeCell ref="I4:O4"/>
    <mergeCell ref="D4:G4"/>
    <mergeCell ref="Q4:S4"/>
    <mergeCell ref="Q5:R5"/>
  </mergeCells>
  <printOptions/>
  <pageMargins left="0.75" right="0.75" top="1" bottom="1" header="0.5" footer="0.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3">
      <selection activeCell="I33" sqref="I33"/>
    </sheetView>
  </sheetViews>
  <sheetFormatPr defaultColWidth="9.140625" defaultRowHeight="12.75"/>
  <cols>
    <col min="1" max="1" width="13.28125" style="84" customWidth="1"/>
    <col min="2" max="2" width="11.7109375" style="84" customWidth="1"/>
    <col min="3" max="4" width="9.140625" style="84" customWidth="1"/>
    <col min="5" max="5" width="11.140625" style="84" customWidth="1"/>
    <col min="6" max="6" width="11.28125" style="84" customWidth="1"/>
    <col min="7" max="7" width="11.7109375" style="84" customWidth="1"/>
    <col min="8" max="8" width="10.7109375" style="84" customWidth="1"/>
    <col min="9" max="9" width="38.57421875" style="84" customWidth="1"/>
    <col min="10" max="10" width="11.140625" style="84" customWidth="1"/>
    <col min="11" max="16384" width="9.140625" style="84" customWidth="1"/>
  </cols>
  <sheetData>
    <row r="1" spans="2:6" ht="12.75">
      <c r="B1" s="116"/>
      <c r="C1" s="117"/>
      <c r="D1" s="117"/>
      <c r="E1" s="118" t="s">
        <v>14</v>
      </c>
      <c r="F1" s="94" t="s">
        <v>15</v>
      </c>
    </row>
    <row r="2" spans="1:6" ht="12.75">
      <c r="A2" s="94" t="s">
        <v>0</v>
      </c>
      <c r="B2" s="119" t="s">
        <v>5</v>
      </c>
      <c r="C2" s="120" t="s">
        <v>8</v>
      </c>
      <c r="D2" s="120" t="s">
        <v>6</v>
      </c>
      <c r="E2" s="118" t="s">
        <v>4</v>
      </c>
      <c r="F2" s="118" t="s">
        <v>4</v>
      </c>
    </row>
    <row r="3" spans="1:10" ht="14.25">
      <c r="A3" s="121"/>
      <c r="B3" s="122" t="s">
        <v>1</v>
      </c>
      <c r="C3" s="123" t="s">
        <v>2</v>
      </c>
      <c r="D3" s="123" t="s">
        <v>7</v>
      </c>
      <c r="E3" s="124" t="s">
        <v>13</v>
      </c>
      <c r="F3" s="124" t="s">
        <v>3</v>
      </c>
      <c r="I3" s="161" t="s">
        <v>10</v>
      </c>
      <c r="J3" s="162"/>
    </row>
    <row r="4" spans="1:10" s="88" customFormat="1" ht="12.75">
      <c r="A4" s="125" t="s">
        <v>12</v>
      </c>
      <c r="B4" s="131">
        <v>6</v>
      </c>
      <c r="C4" s="132">
        <v>0.285</v>
      </c>
      <c r="D4" s="133">
        <v>0.2</v>
      </c>
      <c r="E4" s="134">
        <v>0.036</v>
      </c>
      <c r="F4" s="135">
        <v>0</v>
      </c>
      <c r="I4" s="126" t="s">
        <v>115</v>
      </c>
      <c r="J4" s="136">
        <v>20</v>
      </c>
    </row>
    <row r="5" spans="1:10" ht="12.75">
      <c r="A5" s="127" t="s">
        <v>12</v>
      </c>
      <c r="B5" s="127"/>
      <c r="C5" s="127"/>
      <c r="D5" s="127"/>
      <c r="E5" s="127"/>
      <c r="F5" s="127"/>
      <c r="I5" s="126" t="s">
        <v>112</v>
      </c>
      <c r="J5" s="137">
        <v>0.18</v>
      </c>
    </row>
    <row r="6" spans="9:10" ht="12.75">
      <c r="I6" s="126" t="s">
        <v>113</v>
      </c>
      <c r="J6" s="137">
        <v>1</v>
      </c>
    </row>
    <row r="7" spans="9:10" ht="12.75">
      <c r="I7" s="126" t="s">
        <v>114</v>
      </c>
      <c r="J7" s="138">
        <v>1.52</v>
      </c>
    </row>
    <row r="8" spans="2:10" ht="12.75">
      <c r="B8" s="93" t="s">
        <v>16</v>
      </c>
      <c r="C8" s="94" t="s">
        <v>11</v>
      </c>
      <c r="I8" s="128" t="s">
        <v>116</v>
      </c>
      <c r="J8" s="139">
        <v>0.095</v>
      </c>
    </row>
    <row r="9" spans="2:3" ht="12.75">
      <c r="B9" s="106">
        <f>1/20*(20*min_Im+0*max_Im)</f>
        <v>0.18</v>
      </c>
      <c r="C9" s="129">
        <f>total_efficiency_factor*(Kt*B9-Dc-Dv*((applied_voltage-B9*resistance)/Ke))*((applied_voltage-B9*resistance)/Ke)/(applied_voltage*B9)</f>
        <v>0</v>
      </c>
    </row>
    <row r="10" spans="2:3" ht="12.75">
      <c r="B10" s="106">
        <f>1/20*(19*min_Im+1*max_Im)</f>
        <v>0.221</v>
      </c>
      <c r="C10" s="129">
        <f aca="true" t="shared" si="0" ref="C10:C29">total_efficiency_factor*(Kt*B10-Dc-Dv*((applied_voltage-B10*resistance)/Ke))*((applied_voltage-B10*resistance)/Ke)/(applied_voltage*B10)</f>
        <v>0.1847683861236804</v>
      </c>
    </row>
    <row r="11" spans="2:3" ht="12.75">
      <c r="B11" s="106">
        <f>1/20*(18*min_Im+2*max_Im)</f>
        <v>0.262</v>
      </c>
      <c r="C11" s="129">
        <f t="shared" si="0"/>
        <v>0.3076022391857508</v>
      </c>
    </row>
    <row r="12" spans="2:3" ht="12.75">
      <c r="B12" s="106">
        <f>1/20*(17*min_Im+3*max_Im)</f>
        <v>0.30300000000000005</v>
      </c>
      <c r="C12" s="129">
        <f t="shared" si="0"/>
        <v>0.3936433003300333</v>
      </c>
    </row>
    <row r="13" spans="2:3" ht="12.75">
      <c r="B13" s="106">
        <f>1/20*(16*min_Im+4*max_Im)</f>
        <v>0.34400000000000003</v>
      </c>
      <c r="C13" s="129">
        <f t="shared" si="0"/>
        <v>0.4560471317829459</v>
      </c>
    </row>
    <row r="14" spans="2:3" ht="12.75">
      <c r="B14" s="106">
        <f>1/20*(15*min_Im+5*max_Im)</f>
        <v>0.385</v>
      </c>
      <c r="C14" s="129">
        <f t="shared" si="0"/>
        <v>0.5023653679653681</v>
      </c>
    </row>
    <row r="15" spans="2:3" ht="12.75">
      <c r="B15" s="106">
        <f>1/20*(14*min_Im+6*max_Im)</f>
        <v>0.426</v>
      </c>
      <c r="C15" s="129">
        <f t="shared" si="0"/>
        <v>0.537242441314554</v>
      </c>
    </row>
    <row r="16" spans="2:3" ht="12.75">
      <c r="B16" s="106">
        <f>1/20*(13*min_Im+7*max_Im)</f>
        <v>0.467</v>
      </c>
      <c r="C16" s="129">
        <f t="shared" si="0"/>
        <v>0.5636917630264099</v>
      </c>
    </row>
    <row r="17" spans="2:3" ht="12.75">
      <c r="B17" s="106">
        <f>1/20*(12*min_Im+8*max_Im)</f>
        <v>0.508</v>
      </c>
      <c r="C17" s="129">
        <f t="shared" si="0"/>
        <v>0.583753910761155</v>
      </c>
    </row>
    <row r="18" spans="2:3" ht="12.75">
      <c r="B18" s="106">
        <f>1/20*(11*min_Im+9*max_Im)</f>
        <v>0.549</v>
      </c>
      <c r="C18" s="129">
        <f t="shared" si="0"/>
        <v>0.5988598907103826</v>
      </c>
    </row>
    <row r="19" spans="2:3" ht="12.75">
      <c r="B19" s="106">
        <f>1/20*(10*min_Im+10*max_Im)</f>
        <v>0.5900000000000001</v>
      </c>
      <c r="C19" s="129">
        <f t="shared" si="0"/>
        <v>0.6100429378531076</v>
      </c>
    </row>
    <row r="20" spans="2:3" ht="12.75">
      <c r="B20" s="106">
        <f>1/20*(9*min_Im+11*max_Im)</f>
        <v>0.631</v>
      </c>
      <c r="C20" s="129">
        <f t="shared" si="0"/>
        <v>0.6180677443211833</v>
      </c>
    </row>
    <row r="21" spans="2:3" ht="12.75">
      <c r="B21" s="106">
        <f>1/20*(8*min_Im+12*max_Im)</f>
        <v>0.672</v>
      </c>
      <c r="C21" s="129">
        <f t="shared" si="0"/>
        <v>0.6235123809523812</v>
      </c>
    </row>
    <row r="22" spans="2:3" ht="12.75">
      <c r="B22" s="106">
        <f>1/20*(7*min_Im+13*max_Im)</f>
        <v>0.7130000000000001</v>
      </c>
      <c r="C22" s="129">
        <f t="shared" si="0"/>
        <v>0.6268219541841984</v>
      </c>
    </row>
    <row r="23" spans="2:3" ht="12.75">
      <c r="B23" s="106">
        <f>1/20*(6*min_Im+14*max_Im)</f>
        <v>0.754</v>
      </c>
      <c r="C23" s="129">
        <f t="shared" si="0"/>
        <v>0.6283447568523431</v>
      </c>
    </row>
    <row r="24" spans="2:3" ht="12.75">
      <c r="B24" s="106">
        <f>1/20*(5*min_Im+15*max_Im)</f>
        <v>0.795</v>
      </c>
      <c r="C24" s="129">
        <f t="shared" si="0"/>
        <v>0.6283572327044027</v>
      </c>
    </row>
    <row r="25" spans="2:3" ht="12.75">
      <c r="B25" s="106">
        <f>1/20*(4*min_Im+16*max_Im)</f>
        <v>0.836</v>
      </c>
      <c r="C25" s="129">
        <f t="shared" si="0"/>
        <v>0.6270815948963319</v>
      </c>
    </row>
    <row r="26" spans="2:3" ht="12.75">
      <c r="B26" s="106">
        <f>1/20*(3*min_Im+17*max_Im)</f>
        <v>0.877</v>
      </c>
      <c r="C26" s="129">
        <f t="shared" si="0"/>
        <v>0.6246985024705435</v>
      </c>
    </row>
    <row r="27" spans="2:3" ht="12.75">
      <c r="B27" s="106">
        <f>1/20*(2*min_Im+18*max_Im)</f>
        <v>0.918</v>
      </c>
      <c r="C27" s="129">
        <f t="shared" si="0"/>
        <v>0.6213563398692812</v>
      </c>
    </row>
    <row r="28" spans="2:3" ht="12.75">
      <c r="B28" s="106">
        <f>1/20*(1*min_Im+19*max_Im)</f>
        <v>0.9590000000000001</v>
      </c>
      <c r="C28" s="129">
        <f t="shared" si="0"/>
        <v>0.6171781160931527</v>
      </c>
    </row>
    <row r="29" spans="2:3" ht="12.75">
      <c r="B29" s="106">
        <f>1/20*(0*min_Im+20*max_Im)</f>
        <v>1</v>
      </c>
      <c r="C29" s="129">
        <f t="shared" si="0"/>
        <v>0.6122666666666667</v>
      </c>
    </row>
    <row r="30" spans="2:4" ht="12.75">
      <c r="B30" s="84" t="s">
        <v>12</v>
      </c>
      <c r="D30" s="130"/>
    </row>
    <row r="31" ht="12.75">
      <c r="D31" s="130"/>
    </row>
    <row r="34" spans="1:8" s="88" customFormat="1" ht="12.75">
      <c r="A34" s="84"/>
      <c r="B34" s="84"/>
      <c r="C34" s="84"/>
      <c r="D34" s="84"/>
      <c r="E34" s="84"/>
      <c r="F34" s="84"/>
      <c r="G34" s="84"/>
      <c r="H34" s="84"/>
    </row>
  </sheetData>
  <sheetProtection sheet="1" objects="1" scenarios="1"/>
  <mergeCells count="1">
    <mergeCell ref="I3:J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Planetary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2003-07-05T05:04:56Z</dcterms:created>
  <dcterms:modified xsi:type="dcterms:W3CDTF">2005-05-06T04:16:35Z</dcterms:modified>
  <cp:category/>
  <cp:version/>
  <cp:contentType/>
  <cp:contentStatus/>
</cp:coreProperties>
</file>